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Mājas lapā liekamā informācija\Smilšu iela 42 k-1 un K-2\"/>
    </mc:Choice>
  </mc:AlternateContent>
  <bookViews>
    <workbookView xWindow="-120" yWindow="-120" windowWidth="29040" windowHeight="15840" tabRatio="846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Sheet1" sheetId="12" state="hidden" r:id="rId8"/>
    <sheet name="6a" sheetId="8" r:id="rId9"/>
    <sheet name="7a" sheetId="9" r:id="rId10"/>
    <sheet name="8a" sheetId="10" r:id="rId11"/>
    <sheet name="9a" sheetId="11" r:id="rId1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0" i="12" l="1"/>
  <c r="S10" i="12"/>
  <c r="R10" i="12"/>
  <c r="Q10" i="12"/>
  <c r="P10" i="12"/>
  <c r="O10" i="12"/>
  <c r="N10" i="12"/>
  <c r="M10" i="12"/>
  <c r="L10" i="12"/>
  <c r="K10" i="12"/>
  <c r="U10" i="12" l="1"/>
  <c r="E42" i="4"/>
  <c r="E40" i="4"/>
  <c r="E19" i="6"/>
  <c r="E35" i="7" l="1"/>
  <c r="E31" i="10"/>
  <c r="M29" i="12"/>
  <c r="M28" i="12"/>
  <c r="E18" i="7"/>
  <c r="E21" i="7"/>
  <c r="U31" i="12"/>
  <c r="E31" i="7"/>
  <c r="E30" i="7"/>
  <c r="E29" i="7"/>
  <c r="E26" i="7"/>
  <c r="E27" i="7"/>
  <c r="E25" i="7"/>
  <c r="E22" i="7"/>
  <c r="E23" i="7" s="1"/>
  <c r="W28" i="12"/>
  <c r="W27" i="12"/>
  <c r="W24" i="12"/>
  <c r="W25" i="12"/>
  <c r="W26" i="12"/>
  <c r="W23" i="12"/>
  <c r="U25" i="12"/>
  <c r="U24" i="12"/>
  <c r="U23" i="12"/>
  <c r="O29" i="12"/>
  <c r="O28" i="12"/>
  <c r="K28" i="12"/>
  <c r="K29" i="12"/>
  <c r="J28" i="12"/>
  <c r="N28" i="12"/>
  <c r="R33" i="12"/>
  <c r="T33" i="12" s="1"/>
  <c r="R32" i="12"/>
  <c r="T32" i="12" s="1"/>
  <c r="R31" i="12"/>
  <c r="T31" i="12" s="1"/>
  <c r="T28" i="12"/>
  <c r="T27" i="12"/>
  <c r="R29" i="12"/>
  <c r="T29" i="12" s="1"/>
  <c r="R28" i="12"/>
  <c r="R27" i="12"/>
  <c r="T25" i="12"/>
  <c r="T24" i="12"/>
  <c r="T34" i="12" s="1"/>
  <c r="S6" i="12"/>
  <c r="R6" i="12"/>
  <c r="O6" i="12"/>
  <c r="N6" i="12"/>
  <c r="M6" i="12"/>
  <c r="L6" i="12"/>
  <c r="K6" i="12"/>
  <c r="N20" i="12"/>
  <c r="O20" i="12" s="1"/>
  <c r="O16" i="12"/>
  <c r="N17" i="12"/>
  <c r="O17" i="12" s="1"/>
  <c r="N18" i="12"/>
  <c r="O18" i="12" s="1"/>
  <c r="N19" i="12"/>
  <c r="O19" i="12" s="1"/>
  <c r="N21" i="12"/>
  <c r="O21" i="12" s="1"/>
  <c r="N22" i="12"/>
  <c r="N23" i="12"/>
  <c r="N24" i="12"/>
  <c r="N25" i="12"/>
  <c r="N26" i="12"/>
  <c r="N27" i="12"/>
  <c r="N16" i="12"/>
  <c r="AA16" i="12"/>
  <c r="E87" i="7"/>
  <c r="E89" i="7" s="1"/>
  <c r="E90" i="7" s="1"/>
  <c r="R17" i="12"/>
  <c r="S17" i="12"/>
  <c r="T17" i="12"/>
  <c r="U17" i="12"/>
  <c r="V17" i="12"/>
  <c r="W17" i="12"/>
  <c r="X17" i="12"/>
  <c r="Y17" i="12"/>
  <c r="Z17" i="12"/>
  <c r="Q17" i="12"/>
  <c r="Z18" i="12"/>
  <c r="Y18" i="12"/>
  <c r="X18" i="12"/>
  <c r="W18" i="12"/>
  <c r="V18" i="12"/>
  <c r="U18" i="12"/>
  <c r="T18" i="12"/>
  <c r="S18" i="12"/>
  <c r="R18" i="12"/>
  <c r="Q18" i="12"/>
  <c r="K5" i="12"/>
  <c r="E80" i="7"/>
  <c r="E81" i="7"/>
  <c r="E83" i="7" s="1"/>
  <c r="E79" i="7"/>
  <c r="E78" i="7"/>
  <c r="E75" i="7"/>
  <c r="E76" i="7" s="1"/>
  <c r="E74" i="7"/>
  <c r="T11" i="12"/>
  <c r="S11" i="12"/>
  <c r="R11" i="12"/>
  <c r="Q11" i="12"/>
  <c r="P11" i="12"/>
  <c r="O11" i="12"/>
  <c r="N11" i="12"/>
  <c r="M11" i="12"/>
  <c r="L11" i="12"/>
  <c r="K11" i="12"/>
  <c r="E71" i="7"/>
  <c r="E72" i="7" s="1"/>
  <c r="E70" i="7"/>
  <c r="E68" i="7"/>
  <c r="E82" i="7" l="1"/>
  <c r="E88" i="7"/>
  <c r="E32" i="7"/>
  <c r="E36" i="7" s="1"/>
  <c r="T35" i="12"/>
  <c r="AA17" i="12"/>
  <c r="AA18" i="12"/>
  <c r="AA19" i="12" s="1"/>
  <c r="U11" i="12"/>
  <c r="E66" i="7"/>
  <c r="E61" i="7"/>
  <c r="P6" i="12"/>
  <c r="U6" i="12" s="1"/>
  <c r="Q23" i="12" s="1"/>
  <c r="Q6" i="12"/>
  <c r="T6" i="12"/>
  <c r="E58" i="7"/>
  <c r="E59" i="7" s="1"/>
  <c r="E57" i="7"/>
  <c r="U5" i="12"/>
  <c r="L5" i="12"/>
  <c r="M5" i="12"/>
  <c r="N5" i="12"/>
  <c r="O5" i="12"/>
  <c r="P5" i="12"/>
  <c r="Q5" i="12"/>
  <c r="R5" i="12"/>
  <c r="S5" i="12"/>
  <c r="T5" i="12"/>
  <c r="E38" i="7" l="1"/>
  <c r="E37" i="7"/>
  <c r="E34" i="7"/>
  <c r="E33" i="7"/>
  <c r="E62" i="7"/>
  <c r="E60" i="7"/>
  <c r="E14" i="7"/>
  <c r="E49" i="7"/>
  <c r="E48" i="7"/>
  <c r="E43" i="7"/>
  <c r="E42" i="7"/>
  <c r="E41" i="7"/>
  <c r="E44" i="7"/>
  <c r="E45" i="7"/>
  <c r="E46" i="7"/>
  <c r="E47" i="7" s="1"/>
  <c r="E50" i="7"/>
  <c r="E51" i="7" s="1"/>
  <c r="E52" i="7"/>
  <c r="E53" i="7" s="1"/>
  <c r="M17" i="12"/>
  <c r="M18" i="12"/>
  <c r="M19" i="12"/>
  <c r="M20" i="12"/>
  <c r="L20" i="12"/>
  <c r="L17" i="12"/>
  <c r="L18" i="12"/>
  <c r="L19" i="12"/>
  <c r="L21" i="12"/>
  <c r="M21" i="12" s="1"/>
  <c r="L22" i="12"/>
  <c r="M22" i="12" s="1"/>
  <c r="L23" i="12"/>
  <c r="M23" i="12" s="1"/>
  <c r="L16" i="12"/>
  <c r="M16" i="12" s="1"/>
  <c r="K20" i="12"/>
  <c r="J20" i="12"/>
  <c r="J17" i="12"/>
  <c r="K17" i="12" s="1"/>
  <c r="J18" i="12"/>
  <c r="K18" i="12" s="1"/>
  <c r="J19" i="12"/>
  <c r="K19" i="12" s="1"/>
  <c r="J21" i="12"/>
  <c r="K21" i="12" s="1"/>
  <c r="J22" i="12"/>
  <c r="K22" i="12" s="1"/>
  <c r="J23" i="12"/>
  <c r="K23" i="12" s="1"/>
  <c r="J24" i="12"/>
  <c r="K24" i="12" s="1"/>
  <c r="J25" i="12"/>
  <c r="K25" i="12" s="1"/>
  <c r="J26" i="12"/>
  <c r="K26" i="12" s="1"/>
  <c r="J27" i="12"/>
  <c r="K27" i="12" s="1"/>
  <c r="J16" i="12"/>
  <c r="K16" i="12" s="1"/>
  <c r="E115" i="4"/>
  <c r="E114" i="4"/>
  <c r="E113" i="4"/>
  <c r="E111" i="4"/>
  <c r="E112" i="4" s="1"/>
  <c r="E110" i="4"/>
  <c r="E106" i="4"/>
  <c r="E97" i="4"/>
  <c r="E95" i="4"/>
  <c r="E96" i="4" s="1"/>
  <c r="E93" i="4"/>
  <c r="E94" i="4" s="1"/>
  <c r="E87" i="4"/>
  <c r="E86" i="4"/>
  <c r="E85" i="4"/>
  <c r="E89" i="4" s="1"/>
  <c r="E103" i="4" s="1"/>
  <c r="E83" i="4"/>
  <c r="E82" i="4"/>
  <c r="E81" i="4"/>
  <c r="E77" i="4"/>
  <c r="E78" i="4" s="1"/>
  <c r="E79" i="4" s="1"/>
  <c r="C24" i="12"/>
  <c r="C23" i="12"/>
  <c r="C25" i="12" s="1"/>
  <c r="E76" i="4"/>
  <c r="A25" i="12"/>
  <c r="A24" i="12"/>
  <c r="A23" i="12"/>
  <c r="E68" i="4"/>
  <c r="E67" i="4"/>
  <c r="E69" i="4" s="1"/>
  <c r="E74" i="4"/>
  <c r="E71" i="4"/>
  <c r="E73" i="4" s="1"/>
  <c r="D17" i="12"/>
  <c r="D16" i="12"/>
  <c r="D15" i="12"/>
  <c r="D18" i="12" s="1"/>
  <c r="E60" i="4"/>
  <c r="E55" i="4"/>
  <c r="E52" i="4"/>
  <c r="E56" i="4" s="1"/>
  <c r="E43" i="4"/>
  <c r="E44" i="4" s="1"/>
  <c r="E41" i="4"/>
  <c r="E36" i="4"/>
  <c r="E37" i="4" s="1"/>
  <c r="E38" i="4" s="1"/>
  <c r="E35" i="4"/>
  <c r="E28" i="4"/>
  <c r="E29" i="4" s="1"/>
  <c r="E20" i="4"/>
  <c r="E19" i="4"/>
  <c r="E17" i="4"/>
  <c r="E18" i="4" s="1"/>
  <c r="E16" i="4"/>
  <c r="B17" i="12"/>
  <c r="B19" i="12" s="1"/>
  <c r="A24" i="5"/>
  <c r="A25" i="5" s="1"/>
  <c r="E32" i="5"/>
  <c r="E31" i="5"/>
  <c r="E29" i="5"/>
  <c r="E28" i="5"/>
  <c r="E27" i="5"/>
  <c r="E26" i="5"/>
  <c r="E23" i="5"/>
  <c r="E24" i="5"/>
  <c r="E25" i="5"/>
  <c r="E22" i="5"/>
  <c r="E21" i="5"/>
  <c r="E20" i="5"/>
  <c r="E18" i="5"/>
  <c r="D9" i="12"/>
  <c r="E12" i="12"/>
  <c r="E11" i="12"/>
  <c r="E10" i="12"/>
  <c r="E8" i="12"/>
  <c r="I8" i="12"/>
  <c r="F11" i="12"/>
  <c r="F12" i="12"/>
  <c r="F10" i="12"/>
  <c r="F8" i="12"/>
  <c r="D12" i="12"/>
  <c r="F9" i="12"/>
  <c r="D8" i="12"/>
  <c r="D13" i="12" s="1"/>
  <c r="E37" i="5"/>
  <c r="D2" i="12"/>
  <c r="D3" i="12" s="1"/>
  <c r="E49" i="5"/>
  <c r="E45" i="5"/>
  <c r="E46" i="5" s="1"/>
  <c r="B2" i="12"/>
  <c r="E54" i="5"/>
  <c r="E53" i="5"/>
  <c r="E59" i="5"/>
  <c r="E61" i="5" s="1"/>
  <c r="E57" i="5"/>
  <c r="E58" i="5" s="1"/>
  <c r="E15" i="5"/>
  <c r="E41" i="5" s="1"/>
  <c r="E42" i="5" s="1"/>
  <c r="A9" i="12"/>
  <c r="E17" i="6"/>
  <c r="E19" i="8"/>
  <c r="E18" i="8"/>
  <c r="E17" i="8"/>
  <c r="E16" i="8"/>
  <c r="E15" i="8"/>
  <c r="E30" i="10"/>
  <c r="E32" i="10" s="1"/>
  <c r="E22" i="4" l="1"/>
  <c r="E23" i="4"/>
  <c r="E16" i="7"/>
  <c r="I10" i="12"/>
  <c r="I12" i="12"/>
  <c r="D19" i="12"/>
  <c r="E15" i="7"/>
  <c r="E64" i="7"/>
  <c r="E63" i="7"/>
  <c r="E99" i="4"/>
  <c r="E100" i="4" s="1"/>
  <c r="E101" i="4" s="1"/>
  <c r="E90" i="4"/>
  <c r="E88" i="4"/>
  <c r="E98" i="4"/>
  <c r="E92" i="4"/>
  <c r="E91" i="4"/>
  <c r="E72" i="4"/>
  <c r="E31" i="4"/>
  <c r="E25" i="4"/>
  <c r="E26" i="4"/>
  <c r="E27" i="4" s="1"/>
  <c r="E57" i="4"/>
  <c r="E58" i="4"/>
  <c r="E32" i="4"/>
  <c r="E33" i="4" s="1"/>
  <c r="E53" i="4"/>
  <c r="E54" i="4"/>
  <c r="E21" i="4"/>
  <c r="E30" i="4"/>
  <c r="A26" i="5"/>
  <c r="F13" i="12"/>
  <c r="E47" i="5"/>
  <c r="E50" i="5"/>
  <c r="E48" i="5"/>
  <c r="E60" i="5"/>
  <c r="E34" i="5"/>
  <c r="E105" i="4" l="1"/>
  <c r="E104" i="4"/>
  <c r="E107" i="4"/>
  <c r="E24" i="4"/>
  <c r="A27" i="5"/>
  <c r="A28" i="5"/>
  <c r="E52" i="5"/>
  <c r="E51" i="5"/>
  <c r="E38" i="5"/>
  <c r="E36" i="5"/>
  <c r="E35" i="5"/>
  <c r="A14" i="10"/>
  <c r="A15" i="10" s="1"/>
  <c r="A14" i="9"/>
  <c r="A14" i="8"/>
  <c r="A14" i="7"/>
  <c r="A13" i="6"/>
  <c r="A14" i="5"/>
  <c r="A14" i="4"/>
  <c r="A14" i="3"/>
  <c r="A15" i="3" s="1"/>
  <c r="A15" i="7" l="1"/>
  <c r="E109" i="4"/>
  <c r="E108" i="4"/>
  <c r="A15" i="4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29" i="5"/>
  <c r="A30" i="5"/>
  <c r="E39" i="5"/>
  <c r="E40" i="5"/>
  <c r="A15" i="8"/>
  <c r="A16" i="8" s="1"/>
  <c r="A16" i="7"/>
  <c r="A14" i="6"/>
  <c r="A15" i="6" s="1"/>
  <c r="A15" i="5"/>
  <c r="A16" i="3"/>
  <c r="A17" i="3" s="1"/>
  <c r="C74" i="5"/>
  <c r="C71" i="5"/>
  <c r="C66" i="5"/>
  <c r="C31" i="6"/>
  <c r="C29" i="6"/>
  <c r="C25" i="6"/>
  <c r="C102" i="7"/>
  <c r="C99" i="7"/>
  <c r="C94" i="7"/>
  <c r="C31" i="8"/>
  <c r="C28" i="8"/>
  <c r="C23" i="8"/>
  <c r="C26" i="9"/>
  <c r="C23" i="9"/>
  <c r="C18" i="9"/>
  <c r="C48" i="10"/>
  <c r="C45" i="10"/>
  <c r="C40" i="10"/>
  <c r="C75" i="11"/>
  <c r="C72" i="11"/>
  <c r="C67" i="11"/>
  <c r="C124" i="4"/>
  <c r="C122" i="4"/>
  <c r="C118" i="4"/>
  <c r="C36" i="3"/>
  <c r="C34" i="3"/>
  <c r="C30" i="3"/>
  <c r="A36" i="2"/>
  <c r="A69" i="5" s="1"/>
  <c r="P10" i="5" s="1"/>
  <c r="A31" i="5" l="1"/>
  <c r="A17" i="8"/>
  <c r="A18" i="8"/>
  <c r="A19" i="8" s="1"/>
  <c r="A17" i="7"/>
  <c r="A18" i="7" s="1"/>
  <c r="A19" i="7" s="1"/>
  <c r="A20" i="7" s="1"/>
  <c r="A16" i="6"/>
  <c r="A16" i="5"/>
  <c r="A18" i="3"/>
  <c r="A32" i="3"/>
  <c r="P10" i="3" s="1"/>
  <c r="A43" i="10"/>
  <c r="P10" i="10" s="1"/>
  <c r="A26" i="8"/>
  <c r="P10" i="8" s="1"/>
  <c r="A27" i="6"/>
  <c r="P10" i="6" s="1"/>
  <c r="A120" i="4"/>
  <c r="P10" i="4" s="1"/>
  <c r="A70" i="11"/>
  <c r="P10" i="11" s="1"/>
  <c r="A21" i="9"/>
  <c r="P10" i="9" s="1"/>
  <c r="A97" i="7"/>
  <c r="P10" i="7" s="1"/>
  <c r="D9" i="2"/>
  <c r="D8" i="2"/>
  <c r="D7" i="2"/>
  <c r="D6" i="2"/>
  <c r="A21" i="7" l="1"/>
  <c r="A22" i="7" s="1"/>
  <c r="A23" i="7" s="1"/>
  <c r="A32" i="5"/>
  <c r="A17" i="5"/>
  <c r="A18" i="5" s="1"/>
  <c r="A19" i="5" s="1"/>
  <c r="A20" i="5" s="1"/>
  <c r="A17" i="6"/>
  <c r="A19" i="3"/>
  <c r="A20" i="3" s="1"/>
  <c r="D7" i="11"/>
  <c r="D7" i="10"/>
  <c r="D7" i="9"/>
  <c r="D7" i="8"/>
  <c r="D7" i="7"/>
  <c r="D7" i="6"/>
  <c r="D7" i="5"/>
  <c r="D7" i="4"/>
  <c r="D8" i="11"/>
  <c r="D8" i="10"/>
  <c r="D8" i="9"/>
  <c r="D8" i="8"/>
  <c r="D8" i="7"/>
  <c r="D8" i="6"/>
  <c r="D8" i="5"/>
  <c r="D5" i="11"/>
  <c r="D5" i="10"/>
  <c r="D5" i="9"/>
  <c r="D5" i="8"/>
  <c r="D5" i="7"/>
  <c r="D5" i="6"/>
  <c r="D5" i="5"/>
  <c r="D5" i="4"/>
  <c r="D6" i="11"/>
  <c r="D6" i="10"/>
  <c r="D6" i="9"/>
  <c r="D6" i="8"/>
  <c r="D6" i="7"/>
  <c r="D6" i="6"/>
  <c r="D6" i="5"/>
  <c r="D6" i="4"/>
  <c r="D6" i="3"/>
  <c r="D7" i="3"/>
  <c r="D5" i="3"/>
  <c r="D8" i="3"/>
  <c r="C23" i="2"/>
  <c r="C22" i="2"/>
  <c r="C21" i="2"/>
  <c r="C20" i="2"/>
  <c r="C19" i="2"/>
  <c r="C18" i="2"/>
  <c r="C17" i="2"/>
  <c r="C16" i="2"/>
  <c r="C15" i="2"/>
  <c r="A18" i="6" l="1"/>
  <c r="A24" i="7"/>
  <c r="A33" i="5"/>
  <c r="A34" i="5" s="1"/>
  <c r="A35" i="5" s="1"/>
  <c r="A36" i="5" s="1"/>
  <c r="A21" i="5"/>
  <c r="A22" i="5" s="1"/>
  <c r="A21" i="3"/>
  <c r="A22" i="3" s="1"/>
  <c r="N63" i="5"/>
  <c r="G17" i="2" s="1"/>
  <c r="L63" i="5"/>
  <c r="I17" i="2" s="1"/>
  <c r="N116" i="4"/>
  <c r="G16" i="2" s="1"/>
  <c r="L116" i="4"/>
  <c r="I16" i="2" s="1"/>
  <c r="A19" i="6" l="1"/>
  <c r="A25" i="7"/>
  <c r="A26" i="7" s="1"/>
  <c r="A27" i="7" s="1"/>
  <c r="A28" i="7" s="1"/>
  <c r="A29" i="7" s="1"/>
  <c r="A30" i="7" s="1"/>
  <c r="A31" i="7" s="1"/>
  <c r="A37" i="5"/>
  <c r="A23" i="3"/>
  <c r="A24" i="3" s="1"/>
  <c r="A25" i="3" s="1"/>
  <c r="A26" i="3" s="1"/>
  <c r="A16" i="10"/>
  <c r="A23" i="5"/>
  <c r="N23" i="6"/>
  <c r="G18" i="2" s="1"/>
  <c r="L23" i="6"/>
  <c r="I18" i="2" s="1"/>
  <c r="N64" i="11"/>
  <c r="G23" i="2" s="1"/>
  <c r="N91" i="7"/>
  <c r="G19" i="2" s="1"/>
  <c r="L91" i="7"/>
  <c r="I19" i="2" s="1"/>
  <c r="N20" i="8"/>
  <c r="G20" i="2" s="1"/>
  <c r="L15" i="9"/>
  <c r="I21" i="2" s="1"/>
  <c r="L37" i="10"/>
  <c r="I22" i="2" s="1"/>
  <c r="N15" i="9"/>
  <c r="G21" i="2" s="1"/>
  <c r="N37" i="10"/>
  <c r="G22" i="2" s="1"/>
  <c r="L20" i="8"/>
  <c r="I20" i="2" s="1"/>
  <c r="L64" i="11"/>
  <c r="I23" i="2" s="1"/>
  <c r="M91" i="7"/>
  <c r="F19" i="2" s="1"/>
  <c r="M23" i="6"/>
  <c r="F18" i="2" s="1"/>
  <c r="M63" i="5"/>
  <c r="F17" i="2" s="1"/>
  <c r="M20" i="8"/>
  <c r="F20" i="2" s="1"/>
  <c r="M116" i="4"/>
  <c r="F16" i="2" s="1"/>
  <c r="A32" i="7" l="1"/>
  <c r="A33" i="7" s="1"/>
  <c r="A34" i="7" s="1"/>
  <c r="A35" i="7" s="1"/>
  <c r="A38" i="5"/>
  <c r="A39" i="5" s="1"/>
  <c r="A40" i="5" s="1"/>
  <c r="A41" i="5" s="1"/>
  <c r="A42" i="5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17" i="10"/>
  <c r="A27" i="3"/>
  <c r="M37" i="10"/>
  <c r="F22" i="2" s="1"/>
  <c r="M15" i="9"/>
  <c r="F21" i="2" s="1"/>
  <c r="M64" i="11"/>
  <c r="F23" i="2" s="1"/>
  <c r="O91" i="7"/>
  <c r="H19" i="2" s="1"/>
  <c r="P116" i="4"/>
  <c r="E16" i="2" s="1"/>
  <c r="O116" i="4"/>
  <c r="H16" i="2" s="1"/>
  <c r="O37" i="10"/>
  <c r="H22" i="2" s="1"/>
  <c r="P37" i="10"/>
  <c r="O20" i="8"/>
  <c r="H20" i="2" s="1"/>
  <c r="P20" i="8"/>
  <c r="N9" i="8" s="1"/>
  <c r="O23" i="6"/>
  <c r="H18" i="2" s="1"/>
  <c r="O63" i="5"/>
  <c r="H17" i="2" s="1"/>
  <c r="P63" i="5"/>
  <c r="E17" i="2" s="1"/>
  <c r="P91" i="7"/>
  <c r="E19" i="2" s="1"/>
  <c r="P23" i="6"/>
  <c r="N9" i="6" s="1"/>
  <c r="A20" i="6" l="1"/>
  <c r="A21" i="6"/>
  <c r="A36" i="7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18" i="10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E22" i="2"/>
  <c r="N9" i="4"/>
  <c r="O15" i="9"/>
  <c r="H21" i="2" s="1"/>
  <c r="O64" i="11"/>
  <c r="H23" i="2" s="1"/>
  <c r="P15" i="9"/>
  <c r="N9" i="9" s="1"/>
  <c r="E18" i="2"/>
  <c r="N9" i="5"/>
  <c r="P64" i="11"/>
  <c r="E23" i="2" s="1"/>
  <c r="N9" i="7"/>
  <c r="E20" i="2"/>
  <c r="A22" i="6" l="1"/>
  <c r="N9" i="10"/>
  <c r="E21" i="2"/>
  <c r="N9" i="11"/>
  <c r="A40" i="4" l="1"/>
  <c r="N28" i="3"/>
  <c r="A41" i="4" l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G15" i="2"/>
  <c r="A85" i="4" l="1"/>
  <c r="A89" i="4" s="1"/>
  <c r="A15" i="1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O28" i="3"/>
  <c r="A29" i="11" l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H15" i="2"/>
  <c r="H24" i="2" l="1"/>
  <c r="G24" i="2"/>
  <c r="L28" i="3" l="1"/>
  <c r="I15" i="2" s="1"/>
  <c r="I24" i="2" s="1"/>
  <c r="D11" i="2" s="1"/>
  <c r="M28" i="3" l="1"/>
  <c r="F15" i="2" s="1"/>
  <c r="F24" i="2" s="1"/>
  <c r="P28" i="3"/>
  <c r="E15" i="2" l="1"/>
  <c r="A23" i="2" s="1"/>
  <c r="N9" i="3"/>
  <c r="B23" i="2" l="1"/>
  <c r="D1" i="11"/>
  <c r="A17" i="2"/>
  <c r="A16" i="2"/>
  <c r="A19" i="2"/>
  <c r="A18" i="2"/>
  <c r="A22" i="2"/>
  <c r="A20" i="2"/>
  <c r="A21" i="2"/>
  <c r="E24" i="2"/>
  <c r="A15" i="2"/>
  <c r="D1" i="6" l="1"/>
  <c r="B18" i="2"/>
  <c r="D1" i="4"/>
  <c r="B16" i="2"/>
  <c r="B20" i="2"/>
  <c r="D1" i="8"/>
  <c r="B22" i="2"/>
  <c r="D1" i="10"/>
  <c r="D1" i="5"/>
  <c r="B17" i="2"/>
  <c r="B21" i="2"/>
  <c r="D1" i="9"/>
  <c r="B19" i="2"/>
  <c r="D1" i="7"/>
  <c r="D1" i="3"/>
  <c r="B15" i="2"/>
  <c r="E25" i="2"/>
  <c r="E26" i="2" s="1"/>
  <c r="E27" i="2"/>
  <c r="E28" i="2" l="1"/>
  <c r="C19" i="1" l="1"/>
  <c r="C26" i="1" s="1"/>
  <c r="C28" i="1" s="1"/>
  <c r="D10" i="2"/>
  <c r="A114" i="4"/>
  <c r="A102" i="4"/>
  <c r="A92" i="4"/>
  <c r="A93" i="4"/>
  <c r="A91" i="4"/>
  <c r="A109" i="4"/>
  <c r="A106" i="4"/>
  <c r="A108" i="4"/>
  <c r="A88" i="4"/>
  <c r="A110" i="4"/>
  <c r="A107" i="4"/>
  <c r="A104" i="4"/>
  <c r="A99" i="4"/>
  <c r="A113" i="4"/>
  <c r="A103" i="4"/>
  <c r="A101" i="4"/>
  <c r="A112" i="4"/>
  <c r="A90" i="4"/>
  <c r="A98" i="4"/>
  <c r="A97" i="4"/>
  <c r="A100" i="4"/>
  <c r="A96" i="4"/>
  <c r="A115" i="4"/>
  <c r="A87" i="4"/>
  <c r="A111" i="4"/>
  <c r="A94" i="4"/>
  <c r="A105" i="4"/>
  <c r="A86" i="4"/>
  <c r="A95" i="4"/>
</calcChain>
</file>

<file path=xl/sharedStrings.xml><?xml version="1.0" encoding="utf-8"?>
<sst xmlns="http://schemas.openxmlformats.org/spreadsheetml/2006/main" count="1110" uniqueCount="391">
  <si>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</si>
  <si>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</si>
  <si>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</si>
  <si>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</si>
  <si>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</si>
  <si>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</si>
  <si>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</si>
  <si>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</si>
  <si>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</si>
  <si>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</si>
  <si>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</si>
  <si>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</si>
  <si>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</si>
  <si>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</si>
  <si>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</si>
  <si>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</si>
  <si>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</si>
  <si>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</si>
  <si>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</si>
  <si>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</si>
  <si>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</si>
  <si>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</si>
  <si>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</si>
  <si>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</si>
  <si>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</si>
  <si>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</si>
  <si>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</si>
  <si>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</si>
  <si>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</si>
  <si>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</si>
  <si>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</si>
  <si>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</si>
  <si>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</si>
  <si>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</si>
  <si>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</si>
  <si>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</si>
  <si>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</si>
  <si>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</si>
  <si>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</si>
  <si>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</si>
  <si>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</si>
  <si>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</si>
  <si>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</si>
  <si>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</si>
  <si>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</si>
  <si>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</si>
  <si>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</si>
  <si>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</si>
  <si>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</si>
  <si>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</si>
  <si>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</si>
  <si>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</si>
  <si>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</si>
  <si>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</si>
  <si>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</si>
  <si>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dzīvojamās ēkas vienkāršota fasādes atjaunošana.</t>
  </si>
  <si>
    <t>Būvlaukums</t>
  </si>
  <si>
    <t>Jumts</t>
  </si>
  <si>
    <t>Cokols</t>
  </si>
  <si>
    <t>Bēniņi</t>
  </si>
  <si>
    <t>Fasāde</t>
  </si>
  <si>
    <t>Pagrabs</t>
  </si>
  <si>
    <t>Ēkas ventilācija</t>
  </si>
  <si>
    <t>Logi, Durvis</t>
  </si>
  <si>
    <t>Būvniecības žoga uzstādīšana, noma</t>
  </si>
  <si>
    <t>t.m</t>
  </si>
  <si>
    <t>Strādnieku sadzīves konteinera uzstādīšana, noma</t>
  </si>
  <si>
    <t>gab</t>
  </si>
  <si>
    <t>Ugunsdzēsības stends</t>
  </si>
  <si>
    <t>Būvmateriālu pagaidu novietnes izbūve</t>
  </si>
  <si>
    <t>Gājēju ieejas jumtiņu izbūve virs ieejām ēkā</t>
  </si>
  <si>
    <t>Brīdinājuma zīmes</t>
  </si>
  <si>
    <t>Teritorijas sakopšana pēc būvdarbu veikšanas</t>
  </si>
  <si>
    <t>m2</t>
  </si>
  <si>
    <t>Izmaksas par elektroenerģiju un ūdeni</t>
  </si>
  <si>
    <t>kompl</t>
  </si>
  <si>
    <t>Būvgružu savākšana utilizācija</t>
  </si>
  <si>
    <t>Elektropieslēguma izveide</t>
  </si>
  <si>
    <t>Ūdens pieslēguma izveide</t>
  </si>
  <si>
    <t>Jumta skārda elementu demontāža</t>
  </si>
  <si>
    <t xml:space="preserve">Dzelzsbetona paneļu un U veida elementu bojājumu vietās bojāto betona kārtu nokalt līdz armatūrai, armatūru apstrādāt ar pretkorozijas līdzekļiem, gruntēt, aizbetonēt bojājumu vietas un visas nelīdzenās vietas.  </t>
  </si>
  <si>
    <t>Dzelzsbetona elementu sadurvietu izlīdzināšanai izmantot javu vai minerālvati.</t>
  </si>
  <si>
    <t>Kokmateriāls</t>
  </si>
  <si>
    <t>m3</t>
  </si>
  <si>
    <t>Stiprinājumi</t>
  </si>
  <si>
    <t>Parapeta siltināšana pa ēkas perimetru</t>
  </si>
  <si>
    <t>Skārda nosegcepure</t>
  </si>
  <si>
    <t>Koka karkasa izbūve ēkas garenvirzienā</t>
  </si>
  <si>
    <t xml:space="preserve">Lāseņa montāža </t>
  </si>
  <si>
    <t>Lāsenis b=300 mm</t>
  </si>
  <si>
    <t>Drošības margas montāža</t>
  </si>
  <si>
    <t>Drošības marga</t>
  </si>
  <si>
    <t>Kausējamā jumta materiāla ieklāšana</t>
  </si>
  <si>
    <t>Gāze</t>
  </si>
  <si>
    <t>baloni</t>
  </si>
  <si>
    <t>Akmens vates stūra montāža</t>
  </si>
  <si>
    <t>Akmens vates stūris</t>
  </si>
  <si>
    <t>Parapeta kausēšana</t>
  </si>
  <si>
    <t>Ventilācijas šahtu jumtiņu demontāža</t>
  </si>
  <si>
    <t>Ventilācijas ķieģeļu šahtu galu pārmūrēšana</t>
  </si>
  <si>
    <t>Ķieģeļi</t>
  </si>
  <si>
    <t>Mūrjava</t>
  </si>
  <si>
    <t>kg</t>
  </si>
  <si>
    <t>Ventilācijas šahtu jumtiņu uzstādīšana</t>
  </si>
  <si>
    <t>gab.</t>
  </si>
  <si>
    <t>Skārda jumtiņš</t>
  </si>
  <si>
    <t>Ventilācijas kanālu virsmas armēšana</t>
  </si>
  <si>
    <t xml:space="preserve">armējamā java </t>
  </si>
  <si>
    <t>pvc siets</t>
  </si>
  <si>
    <t>ārējie pvc stūri</t>
  </si>
  <si>
    <t>m</t>
  </si>
  <si>
    <t xml:space="preserve">Virsmas gruntēšana un dekoratīvā apmetuma uzklāšana </t>
  </si>
  <si>
    <t>grunts</t>
  </si>
  <si>
    <t>tonēts dekoratīvais apmetums</t>
  </si>
  <si>
    <t>Palakanā jumta lietus ūdens trapa montāža</t>
  </si>
  <si>
    <t>Lūkas demontāža</t>
  </si>
  <si>
    <t>Autokrāns materiālu pacelšanai</t>
  </si>
  <si>
    <t>Koka karkasa izbūve</t>
  </si>
  <si>
    <t>Jumta siltināšana</t>
  </si>
  <si>
    <t>Skārda pieslēgumu montāža</t>
  </si>
  <si>
    <t>pvc stūri</t>
  </si>
  <si>
    <t>Jumta attīrīšana ieejas mezglam</t>
  </si>
  <si>
    <t>Siltumizolācijas montāža</t>
  </si>
  <si>
    <t>Virsmas armēšana</t>
  </si>
  <si>
    <t>armējamā java</t>
  </si>
  <si>
    <t>pvc siets 160 g/m2</t>
  </si>
  <si>
    <t>Lāsenis 350 mm</t>
  </si>
  <si>
    <t>Tekņu uzstādīšana</t>
  </si>
  <si>
    <t>t.m.</t>
  </si>
  <si>
    <t>Esošās betona apmales demontāža</t>
  </si>
  <si>
    <t>Grunts izstrāde no cokola  apmales, nogādāšana uz atbērtni</t>
  </si>
  <si>
    <t>Virsmas sagatavošana siltināšanai (bojātā apmetuma nokalšana, plaisu aizdare)</t>
  </si>
  <si>
    <t>Hidroizolācijas uzklāšana divās kārtās</t>
  </si>
  <si>
    <t>Vertikālā hidroizolācija</t>
  </si>
  <si>
    <t>Geomembrānas ieklāšana</t>
  </si>
  <si>
    <t>Ģeomembrāna</t>
  </si>
  <si>
    <t>līmjava</t>
  </si>
  <si>
    <t>dībeļi</t>
  </si>
  <si>
    <t>Pamatu aizbēršana</t>
  </si>
  <si>
    <t>smilts</t>
  </si>
  <si>
    <t>Gaismas aku demontāža, veidojot abalsta sienas veidņus, armatūras iestrāde vidēji 80kg/m3 betona, betons C25/30, iestrādājot drenāžas cauruli</t>
  </si>
  <si>
    <t>Ieejas lieveņu atjaunošana</t>
  </si>
  <si>
    <t>Skārda nosegcepures montāža</t>
  </si>
  <si>
    <t>Cinkota tērauda režģa montāža, gaismas akām</t>
  </si>
  <si>
    <t xml:space="preserve">Metāla režģis </t>
  </si>
  <si>
    <t>Šķembu slāņa iestrāde</t>
  </si>
  <si>
    <t>Šķembas</t>
  </si>
  <si>
    <t>Betona apmales betonēšana</t>
  </si>
  <si>
    <t>Armatūras siets</t>
  </si>
  <si>
    <t>Betons</t>
  </si>
  <si>
    <t>Betona sūknis</t>
  </si>
  <si>
    <t>Bēniņu attīrīšana</t>
  </si>
  <si>
    <t>Koka laipu izbūve</t>
  </si>
  <si>
    <t>Kokmateriāls 100x40 mm</t>
  </si>
  <si>
    <t>Kokmateriāls 100x100 mm</t>
  </si>
  <si>
    <t>Siltinātas ugunsdrošas lūkas uzstādīšana</t>
  </si>
  <si>
    <t xml:space="preserve">Bēniņu lūka 860x660 mm (iekšējais izmērs) 
Siltināta ar aizvērējmehānismu. Ugunsdrošība EI30.
U=1,3 W/m2K </t>
  </si>
  <si>
    <t>Lūkas piemūrēšana</t>
  </si>
  <si>
    <t>Sastatņu montāža un demontāža</t>
  </si>
  <si>
    <t>sastatņu noma uz visu būvniecības laiku</t>
  </si>
  <si>
    <t>aizsargsiets</t>
  </si>
  <si>
    <t>Pagaidu jumta izbūve virs sastatnēm, uz būvniecības laiku</t>
  </si>
  <si>
    <t>Cokola profila uzstādīšana</t>
  </si>
  <si>
    <t>cokola profils 150 mm Sakret Mat (vai ekv.)</t>
  </si>
  <si>
    <t xml:space="preserve">Fasādes virsmas gruntēšana  </t>
  </si>
  <si>
    <t>Palodzes demontāža</t>
  </si>
  <si>
    <t>Durvju, logu aiļu siltināšana, armēšana, gruntēšana, dekoratīvā apmetuma uzklāšana</t>
  </si>
  <si>
    <t xml:space="preserve">līmjava </t>
  </si>
  <si>
    <t>loga, durvju kārbas  un siltinājuma salaiduma profils</t>
  </si>
  <si>
    <t>pvc sturis ar lāseni</t>
  </si>
  <si>
    <t>Ārējās izolācijas lentas montāža</t>
  </si>
  <si>
    <t>ārējā izolācijas lenta</t>
  </si>
  <si>
    <t>Skārda palodzes montāža</t>
  </si>
  <si>
    <t>skārda palodze</t>
  </si>
  <si>
    <t>Fasādes pieslēgumu elementu montāža (numura zīme, karoga turētājs u.t.t</t>
  </si>
  <si>
    <t>elementu montāžas stiprinājumi</t>
  </si>
  <si>
    <t>Lodžiju vairogu armēšana</t>
  </si>
  <si>
    <t>armēšanas java</t>
  </si>
  <si>
    <t>stiklašķiedras siets 160 g/m2</t>
  </si>
  <si>
    <t>stūri pieslēgelementi</t>
  </si>
  <si>
    <t>Dekoratīvā apmetuma iestrāde</t>
  </si>
  <si>
    <t>Lodžiju skārda lāseņa montāža</t>
  </si>
  <si>
    <t>skārda lāsenis</t>
  </si>
  <si>
    <t>Nosegcepures montāža</t>
  </si>
  <si>
    <t>Nosegcepure</t>
  </si>
  <si>
    <t>Bojātā stiegrojuma apstrāde</t>
  </si>
  <si>
    <t>Bojātās aizsargkārtas atjaunošana</t>
  </si>
  <si>
    <t>Lodžiju griestu armēšana</t>
  </si>
  <si>
    <t>Balkona grīdas un siltumizolācijas saduvietu hermetizācija</t>
  </si>
  <si>
    <t>hermētiķis</t>
  </si>
  <si>
    <t>iepak.</t>
  </si>
  <si>
    <t>Lodžiju grīdas seguma, betona augšējās kārtas demontāža</t>
  </si>
  <si>
    <t>Lodžiju grīdas seguma betonēšana</t>
  </si>
  <si>
    <t>Divkomponentu hidroizolācijas ieklāšana</t>
  </si>
  <si>
    <t>Hidroizolācija</t>
  </si>
  <si>
    <t>Koka starpsienu augstuma samazināšana starp pagrabiem (kopējā griestu platība)</t>
  </si>
  <si>
    <t>Pagraba griestu sagatavošana siltināšanai, siltināšana</t>
  </si>
  <si>
    <t>Ventilācijas kanālu tīrīšana, izpilddokumentācijas sagatavošana</t>
  </si>
  <si>
    <t>Loga L-8 demontāža, montāža</t>
  </si>
  <si>
    <t>Pagraba logs L-8, ar ventilācijas resti, tonis balts, izmēri augstums 1100 mm, platums 1200 mm</t>
  </si>
  <si>
    <t>Loga L-9 demontāža, montāža</t>
  </si>
  <si>
    <t>Duvju D-1 demontāža, montāža</t>
  </si>
  <si>
    <t>Duvju D-2 demontāža, montāža</t>
  </si>
  <si>
    <t>Duvju D-3 demontāža, montāža</t>
  </si>
  <si>
    <t>Durvis atkritumu šahtas telpai;
U/w ≤ 1,8 W/m²K;
Metāla, slēdzamas,
Ar pašaizvēršanās mehānismu, 
Ar metāla slieksni, durvju augstums 2120 mm, platums 1020 mm</t>
  </si>
  <si>
    <t>Duvju D-4 demontāža, montāža</t>
  </si>
  <si>
    <t>PVC ārdurvis ar stiklojumu;
U/w ≤ 1,8 W/m²K; 
krāsa - balta;
Apaksējā daļa-pildiņš durvju augstums 2980 mm, platums 2710 mm</t>
  </si>
  <si>
    <t>Duvju D-5 demontāža, montāža</t>
  </si>
  <si>
    <t>PVC vējtvera durvis ar stiklojumu;
krāsa - balta;
Apaksējā daļa-pildiņš, durvju augstums 2980 mm, platums 2710 mm</t>
  </si>
  <si>
    <t>Duvju D-6 demontāža, montāža</t>
  </si>
  <si>
    <t>Metāla pagraba durvis,
Ar pašaizvēršanās mehānismu,
slēdzamas, ar metāla slieksni un ventilācijas resti durvju augstums 2000 mm, platums 930 mm</t>
  </si>
  <si>
    <t>Palodzes montāža</t>
  </si>
  <si>
    <t>Logu iekšējās lentas montāža</t>
  </si>
  <si>
    <t>Ventilācijas restes montāža</t>
  </si>
  <si>
    <r>
      <t>m</t>
    </r>
    <r>
      <rPr>
        <vertAlign val="superscript"/>
        <sz val="8"/>
        <rFont val="Arial"/>
        <family val="2"/>
      </rPr>
      <t>2</t>
    </r>
  </si>
  <si>
    <t xml:space="preserve"> </t>
  </si>
  <si>
    <t>Apkure</t>
  </si>
  <si>
    <t>Tērauda paneļu radiators Compact ar sānu pieslēgumu, komplektā ar sienas stiprinājuma kronšteiniem, noslēgkorķi un atgaisotāju C22-500-500 PURMO vai ekv.</t>
  </si>
  <si>
    <t>kompl.</t>
  </si>
  <si>
    <t>Tērauda paneļu radiators Compact ar sānu pieslēgumu, komplektā ar sienas stiprinājuma kronšteiniem, noslēgkorķi un atgaisotāju C22-500-600 PURMO vai ekv.</t>
  </si>
  <si>
    <t>Tērauda paneļu radiators Compact ar sānu pieslēgumu, komplektā ar sienas stiprinājuma kronšteiniem, noslēgkorķi un atgaisotāju C22-500-700 PURMO vai ekv.</t>
  </si>
  <si>
    <t>Tērauda paneļu radiators Compact ar sānu pieslēgumu, komplektā ar sienas stiprinājuma kronšteiniem, noslēgkorķi un atgaisotāju C22-500-800 PURMO vai ekv.</t>
  </si>
  <si>
    <t>Tērauda paneļu radiators Compact ar sānu pieslēgumu, komplektā ar sienas stiprinājuma kronšteiniem, noslēgkorķi un atgaisotāju C22-500-900 PURMO vai ekv.</t>
  </si>
  <si>
    <t>Tērauda paneļu radiators Compact ar sānu pieslēgumu, komplektā ar sienas stiprinājuma kronšteiniem, noslēgkorķi un atgaisotāju C22-500-1000 PURMO vai ekv.</t>
  </si>
  <si>
    <t>Tērauda paneļu radiators Compact ar sānu pieslēgumu, komplektā ar sienas stiprinājuma kronšteiniem, noslēgkorķi un atgaisotāju C22-500-1100 PURMO vai ekv.</t>
  </si>
  <si>
    <t>Tērauda paneļu radiators Compact ar sānu pieslēgumu, komplektā ar sienas stiprinājuma kronšteiniem, noslēgkorķi un atgaisotāju C22-500-1200 PURMO vai ekv.</t>
  </si>
  <si>
    <t>Tērauda paneļu radiators Compact ar sānu pieslēgumu, komplektā ar sienas stiprinājuma kronšteiniem, noslēgkorķi un atgaisotāju C33-500-1000 PURMO vai ekv.</t>
  </si>
  <si>
    <t>Tērauda paneļu radiators Compact ar sānu pieslēgumu, komplektā ar sienas stiprinājuma kronšteiniem, noslēgkorķi un atgaisotāju C33-500-1100 PURMO vai ekv.</t>
  </si>
  <si>
    <t>Tērauda paneļu radiators Compact ar sānu pieslēgumu, komplektā ar sienas stiprinājuma kronšteiniem, noslēgkorķi un atgaisotāju C33-500-1200 PURMO vai ekv.</t>
  </si>
  <si>
    <t>'M'' tipa dvieļu žāvētājs</t>
  </si>
  <si>
    <t>Tērauda paneļu radiators Narbonne ar iespējamu pieslēgumu gan labajā gan kreisajā pusē, komplektā ar noslēgkorķi un atgaisotāju NA 34-14-70 PURMO vai ekv.</t>
  </si>
  <si>
    <t>Tērauda paneļu radiators Narbonne ar iespējamu pieslēgumu gan labajā gan kreisajā pusē, komplektā ar noslēgkorķi un atgaisotāju NA 34-28-120 PURMO vai ekv.</t>
  </si>
  <si>
    <t>Siltuma maksas sadalītājs (alokators)</t>
  </si>
  <si>
    <t>No spiediena neatkarīgs radiatora vārsts RA-G DANFOSS vai ekv.</t>
  </si>
  <si>
    <t>Atpakaļplūsmas ierobežotājs RTD-CB DANFOSS vai ekv.</t>
  </si>
  <si>
    <t>Termostatiskais sensors ar ierobežotu minimālo temp. 16°C RA2000 DANFOSS vai ekv.</t>
  </si>
  <si>
    <t>Termostatiskais sensors ar trieciendrošu korpusu un aizsardzību pret zādzību RA 2920 DANFOSS vai ekv.</t>
  </si>
  <si>
    <t>Lodveida ventilis (sistēmas tukšošanai) DN15</t>
  </si>
  <si>
    <t>Lodveida ventilis (sistēmas tukšošanai) DN20</t>
  </si>
  <si>
    <t>Lodveida ventilis DN40</t>
  </si>
  <si>
    <t>Automātiskais atgaisotājs DN15</t>
  </si>
  <si>
    <t>Apkures cauruļvads (Melnais tērauds) DN15</t>
  </si>
  <si>
    <t>Apkures cauruļvads (Melnais tērauds) DN20</t>
  </si>
  <si>
    <t>Apkures cauruļvads (Melnais tērauds) DN32</t>
  </si>
  <si>
    <t>Apkures cauruļvads (Melnais tērauds) DN40</t>
  </si>
  <si>
    <t>Apkures cauruļvads (Melnais tērauds) DN50</t>
  </si>
  <si>
    <t>Apkures cauruļvads (Melnais tērauds) DN65</t>
  </si>
  <si>
    <t>PVC pārklājums</t>
  </si>
  <si>
    <t>Apkures cauruļvadu fasondaļas</t>
  </si>
  <si>
    <t>Apkures cauruļvadu montāžas materiāli</t>
  </si>
  <si>
    <t>Siltumizolācijas demontāža un utilizācija</t>
  </si>
  <si>
    <t>Armētā siltumizolācijas līmlente</t>
  </si>
  <si>
    <t>Sistēmas hidrauliskā pārbaude</t>
  </si>
  <si>
    <t>Sistēmas balansēšana</t>
  </si>
  <si>
    <t xml:space="preserve">Sistēmas ieregulēšanas darbi </t>
  </si>
  <si>
    <t>Izolācijas stiprinājumi</t>
  </si>
  <si>
    <t>Montāžas palīgmateriāli</t>
  </si>
  <si>
    <t>Sistēmas marķēšanas materiāli</t>
  </si>
  <si>
    <t>Esošās apkures sistēmas demontāža un utilizācija</t>
  </si>
  <si>
    <t>Apdares atjaunošana dzīvokļos pēc radiatoru un apsaistes montāžas</t>
  </si>
  <si>
    <t>Tērauda paneļu radiators Compact ar sānu pieslēgumu, komplektā ar sienas stiprinājuma kronšteiniem, noslēgkorķi un atgaisotāju C33-500-1400 PURMO vai ekv.</t>
  </si>
  <si>
    <t>Rokas balansēšanas vārsts DN40</t>
  </si>
  <si>
    <t>Smilšu iela 42, k-1, Tukums</t>
  </si>
  <si>
    <t>Armands Ūbelis</t>
  </si>
  <si>
    <t>4-02608</t>
  </si>
  <si>
    <t>objekts</t>
  </si>
  <si>
    <t>Pagraba logi - PVC profils; 2 stikla paketes;
Profilu krāsa: balta; izmēri: logam augstums 620 mm, platums 1000 mm</t>
  </si>
  <si>
    <t>Metāla ārdurvis durvis, siltinātas; Ar pašaizvēršanās mehānismu, slēdzamas; U/w ≤ 1,8 W/m²K 
Krāsa - RR-32; durvju augstums 2120 mm, platums 1250 mm</t>
  </si>
  <si>
    <t>PVC vējtvera durvis ar stiklojumu; 
krāsa - balta; Apaksējā daļa-pildiņš, durvju augstums 2120 mm, platums 1250 mm</t>
  </si>
  <si>
    <t>Svaiga gaisa vārstu uzstādīšana</t>
  </si>
  <si>
    <t>Ventilācijas reste VR-1, 330x480 mm</t>
  </si>
  <si>
    <t>Logu, durvju ailu iekšējā apdare</t>
  </si>
  <si>
    <t>Elektroinstalācijas pārnešana virs siltumizolācijas, bojāto posmu nomaiņa</t>
  </si>
  <si>
    <t xml:space="preserve">Akmens vates lamelas, 100 mm,  λ≤0,037 W/mK </t>
  </si>
  <si>
    <t>Apmale</t>
  </si>
  <si>
    <t>Atbalstsienas</t>
  </si>
  <si>
    <t>Pagraba ieejas atbalsienas sagatavošana armēšanai, bojāto vietu remonts</t>
  </si>
  <si>
    <t>Tāme sastādīta 2021. gada 13. maijā</t>
  </si>
  <si>
    <t xml:space="preserve">Tiešās izmaksas kopā, t. sk. darba devēja sociālais nodoklis 23.59% </t>
  </si>
  <si>
    <t>Nesilt. Cok. Sienas</t>
  </si>
  <si>
    <t>Nesiltināmo cokola sienu sagatavošana armēšanai, bojāto vietu remonts</t>
  </si>
  <si>
    <t>100 mm</t>
  </si>
  <si>
    <t>l,m</t>
  </si>
  <si>
    <t>h,m</t>
  </si>
  <si>
    <t>S,m2</t>
  </si>
  <si>
    <t>Siltina</t>
  </si>
  <si>
    <t>Armē</t>
  </si>
  <si>
    <t>Dekors</t>
  </si>
  <si>
    <t>Hidro</t>
  </si>
  <si>
    <t>S, m2</t>
  </si>
  <si>
    <t>Pamatu gruntēšana un siltināšana</t>
  </si>
  <si>
    <t>Ģeo</t>
  </si>
  <si>
    <t>Ekstrudētais putupolistirols, 100mm, λ≤0,037 W/mK</t>
  </si>
  <si>
    <t>Tāme sastādīta  2021. gada tirgus cenās, pamatojoties uz būvprojekta rasējumiem</t>
  </si>
  <si>
    <t>JUMTS</t>
  </si>
  <si>
    <t>b, m</t>
  </si>
  <si>
    <t>l, m</t>
  </si>
  <si>
    <t>k</t>
  </si>
  <si>
    <t>Riboto paneļu jumts</t>
  </si>
  <si>
    <t>Jumts virs lodžijām</t>
  </si>
  <si>
    <t>Ieejas jumtiņi</t>
  </si>
  <si>
    <t>Jumta attīrīšana, esošā seguma demontāža</t>
  </si>
  <si>
    <t>Koka karkasa izbūve parapetam</t>
  </si>
  <si>
    <t>Saplāksnis, 18 mm</t>
  </si>
  <si>
    <t>Paroc eXtra vai ekviv., λ≤ 0,036 W/mK, b=100 mm</t>
  </si>
  <si>
    <t>Parapetu skārda noseglāseņa montāža</t>
  </si>
  <si>
    <t>Skārda noseglāsenis</t>
  </si>
  <si>
    <t>Lāsenis b=200 mm</t>
  </si>
  <si>
    <t>virsklājs ≥5 kg/m2, biezums ≥4 mm;</t>
  </si>
  <si>
    <t>apakšklājs ≥4 kg/m2, biezums ≥3 mm</t>
  </si>
  <si>
    <t>Noteka ar bitumena manžeti un lapu ķerāju</t>
  </si>
  <si>
    <t>Jumta lūkas montāža</t>
  </si>
  <si>
    <t>Skārda jumta lūka ar gāzes amortizatoru, 800x1000 mm</t>
  </si>
  <si>
    <t>Nesiltina</t>
  </si>
  <si>
    <t>KOPĀ</t>
  </si>
  <si>
    <t>Nesiltina KOPĀ</t>
  </si>
  <si>
    <t>Jumta attīrīšana, virs lodžijām, 5. stāva dzīvokļiem</t>
  </si>
  <si>
    <t>Siltumizolācijas apkšslānis b=40 mm, Paroc ros 50, λ≤ 0,039 W/mK vai ekv.</t>
  </si>
  <si>
    <t>Jumta siltumizolācija b=160 mm, Paroc ros 30 g, λ≤ 0,036 W/mK vai ekv.</t>
  </si>
  <si>
    <t>Jumta siltumizolācija b=100 mm, Paroc ros 30, λ≤ 0,036 W/mK vai ekv.</t>
  </si>
  <si>
    <t>Vates stūri</t>
  </si>
  <si>
    <t>Lāsenis b=400 mm</t>
  </si>
  <si>
    <t>Lāsenis b=150 mm</t>
  </si>
  <si>
    <t>Jumta siltumizolācija b=60 mm, Paroc ros 30, λ≤ 0,036 W/mK vai ekv.</t>
  </si>
  <si>
    <t>Sailtumizolācijas apkšslānis b=40 mm, Paroc rob 60, λ≤ 0,039 W/mK vai ekv.</t>
  </si>
  <si>
    <t>Paroc ros 30 vai ekv., b=150 mm, λ≤ 0,036 W/mK</t>
  </si>
  <si>
    <t>tekne ar stiprinājumiem un veidgabaliem</t>
  </si>
  <si>
    <t>noteka ar stiprinājumiem un veidgabaliem</t>
  </si>
  <si>
    <t xml:space="preserve">Fasādes virsmas siltināšana </t>
  </si>
  <si>
    <t>L1</t>
  </si>
  <si>
    <t>L2</t>
  </si>
  <si>
    <t>L3</t>
  </si>
  <si>
    <t>L4</t>
  </si>
  <si>
    <t>L5</t>
  </si>
  <si>
    <t>L7</t>
  </si>
  <si>
    <t>L8</t>
  </si>
  <si>
    <t>L9</t>
  </si>
  <si>
    <t>h, m</t>
  </si>
  <si>
    <t>D1</t>
  </si>
  <si>
    <t>D3</t>
  </si>
  <si>
    <t>D4</t>
  </si>
  <si>
    <t>D6</t>
  </si>
  <si>
    <t>Pagraba</t>
  </si>
  <si>
    <t>0.69 un 1.71</t>
  </si>
  <si>
    <t>2.16 un 1.45</t>
  </si>
  <si>
    <t>P1</t>
  </si>
  <si>
    <t>Palodzes visas</t>
  </si>
  <si>
    <t>P visiem</t>
  </si>
  <si>
    <t>Palodze 1</t>
  </si>
  <si>
    <t>palodzes profils</t>
  </si>
  <si>
    <t>akmens vate, b=150 mm, λ≤0,038 W/mK</t>
  </si>
  <si>
    <t>akmens vate, b=50 mm, λ≤0,038 W/mK</t>
  </si>
  <si>
    <t>Lodžiju griestu attīrīšana, gruntēšana</t>
  </si>
  <si>
    <t>Lodžijas</t>
  </si>
  <si>
    <t>Margas</t>
  </si>
  <si>
    <t>Lodžiju margu attīrīšana, gruntēšana no ārpuses</t>
  </si>
  <si>
    <t>Lodžiju margu attīrīšana, gruntēšana no iekšpuses</t>
  </si>
  <si>
    <t>krāsa</t>
  </si>
  <si>
    <t>Lodžiju margu krāsošana 2 kārtās no iekšpuses</t>
  </si>
  <si>
    <t>l</t>
  </si>
  <si>
    <t>Griesti</t>
  </si>
  <si>
    <t xml:space="preserve">m </t>
  </si>
  <si>
    <t>Grīda</t>
  </si>
  <si>
    <t>LOGI</t>
  </si>
  <si>
    <t>50 mm</t>
  </si>
  <si>
    <t>S visiem</t>
  </si>
  <si>
    <t>S 1</t>
  </si>
  <si>
    <t>150 mm</t>
  </si>
  <si>
    <t>Gali</t>
  </si>
  <si>
    <t>Aizmugure</t>
  </si>
  <si>
    <t>Priekša</t>
  </si>
  <si>
    <t xml:space="preserve"> - logi</t>
  </si>
  <si>
    <t>D7</t>
  </si>
  <si>
    <t>Nesiltināmās sienas</t>
  </si>
  <si>
    <t>Fasāde KOPĀ</t>
  </si>
  <si>
    <t>Cok.pr.</t>
  </si>
  <si>
    <t>Esošās siltumizolācijas, apdares demontāža</t>
  </si>
  <si>
    <t>Biotualetes uzstādīšana, noma</t>
  </si>
  <si>
    <t>Jūras konteinera uzstādīšana, noma</t>
  </si>
  <si>
    <t>Būvtāfele</t>
  </si>
  <si>
    <t>Cauruļvadu siltumizolācijas čaulas Hvac Section AluCoat T, b=50mm Ø22 PAROC vai ekv., λ≤0,045 W/mK</t>
  </si>
  <si>
    <t>Cauruļvadu siltumizolācijas čaulas Hvac Section AluCoat T, b=50mm Ø28 PAROC vai ekv., λ≤0,045 W/mK</t>
  </si>
  <si>
    <t>Cauruļvadu siltumizolācijas čaulas Hvac Section AluCoat T, b=50mm Ø42 PAROC vai ekv., λ≤0,045 W/mK</t>
  </si>
  <si>
    <t>Cauruļvadu siltumizolācijas čaulas Hvac Section AluCoat T, b=50mm Ø48 PAROC vai ekv., λ≤0,045 W/mK</t>
  </si>
  <si>
    <t>Cauruļvadu siltumizolācijas čaulas Hvac Section AluCoat T, b=50mm Ø60 PAROC vai ekv., λ≤0,045 W/mK</t>
  </si>
  <si>
    <t>Cauruļvadu siltumizolācijas čaulas Hvac Section AluCoat T, b=50mm Ø76 PAROC vai ekv., λ≤0,045 W/mK</t>
  </si>
  <si>
    <t>vārsts VTK 100 vai  ekviv.</t>
  </si>
  <si>
    <t>Akmens vates iestrāde 200 mm biezumā pēc sēšanās</t>
  </si>
  <si>
    <t>akmens vate ruļļos, λ&lt;0,041 W/(mk), 200 mm (pēc sēšanās)</t>
  </si>
  <si>
    <t>akmens vate, λ≤0,038 W/mK, 30-50 mm mm</t>
  </si>
  <si>
    <t>Virsmas sagatavošana siltināšanai, apdarei (plaisu aizdare bez vertikālas sienu izlīdzināšanas)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</si>
</sst>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;;"/>
    <numFmt numFmtId="165" formatCode="0;;"/>
    <numFmt numFmtId="166" formatCode="0.0%"/>
  </numFmts>
  <fonts count="11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8"/>
      <name val="Arial"/>
      <family val="2"/>
    </font>
    <font>
      <vertAlign val="superscript"/>
      <sz val="8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rgb="FF92D05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</cellStyleXfs>
  <cellXfs count="3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29" xfId="0" applyFont="1" applyBorder="1" applyAlignment="1">
      <alignment wrapText="1"/>
    </xf>
    <xf numFmtId="164" fontId="1" fillId="0" borderId="29" xfId="0" applyNumberFormat="1" applyFont="1" applyBorder="1" applyAlignment="1">
      <alignment vertical="top" wrapText="1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2" fillId="0" borderId="34" xfId="0" applyFont="1" applyBorder="1" applyAlignment="1">
      <alignment horizontal="center" vertical="center" textRotation="90" wrapText="1"/>
    </xf>
    <xf numFmtId="164" fontId="1" fillId="0" borderId="45" xfId="2" applyNumberFormat="1" applyFont="1" applyBorder="1" applyAlignment="1">
      <alignment horizontal="center" vertical="center"/>
    </xf>
    <xf numFmtId="164" fontId="1" fillId="0" borderId="44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65" fontId="1" fillId="0" borderId="1" xfId="0" applyNumberFormat="1" applyFont="1" applyBorder="1" applyAlignment="1"/>
    <xf numFmtId="165" fontId="1" fillId="0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wrapText="1"/>
    </xf>
    <xf numFmtId="0" fontId="5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8" fillId="0" borderId="39" xfId="0" applyFont="1" applyFill="1" applyBorder="1" applyAlignment="1">
      <alignment wrapText="1"/>
    </xf>
    <xf numFmtId="0" fontId="8" fillId="0" borderId="41" xfId="0" applyFont="1" applyFill="1" applyBorder="1" applyAlignment="1">
      <alignment wrapText="1"/>
    </xf>
    <xf numFmtId="0" fontId="5" fillId="0" borderId="41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wrapText="1"/>
    </xf>
    <xf numFmtId="4" fontId="5" fillId="0" borderId="7" xfId="0" applyNumberFormat="1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0" fontId="5" fillId="0" borderId="6" xfId="0" applyFont="1" applyFill="1" applyBorder="1"/>
    <xf numFmtId="1" fontId="5" fillId="0" borderId="32" xfId="0" applyNumberFormat="1" applyFont="1" applyFill="1" applyBorder="1" applyAlignment="1">
      <alignment horizontal="center" vertical="center"/>
    </xf>
    <xf numFmtId="0" fontId="5" fillId="0" borderId="42" xfId="0" applyFont="1" applyFill="1" applyBorder="1"/>
    <xf numFmtId="2" fontId="5" fillId="0" borderId="31" xfId="0" applyNumberFormat="1" applyFont="1" applyFill="1" applyBorder="1" applyAlignment="1">
      <alignment horizontal="center" vertical="center"/>
    </xf>
    <xf numFmtId="0" fontId="5" fillId="0" borderId="10" xfId="0" applyFont="1" applyFill="1" applyBorder="1"/>
    <xf numFmtId="0" fontId="8" fillId="0" borderId="11" xfId="0" applyFont="1" applyFill="1" applyBorder="1" applyAlignment="1">
      <alignment horizontal="right"/>
    </xf>
    <xf numFmtId="2" fontId="8" fillId="0" borderId="1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/>
    </xf>
    <xf numFmtId="2" fontId="8" fillId="0" borderId="0" xfId="0" applyNumberFormat="1" applyFont="1" applyFill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165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/>
    </xf>
    <xf numFmtId="2" fontId="5" fillId="0" borderId="0" xfId="0" applyNumberFormat="1" applyFont="1" applyFill="1" applyAlignment="1">
      <alignment vertical="center"/>
    </xf>
    <xf numFmtId="14" fontId="5" fillId="0" borderId="0" xfId="0" applyNumberFormat="1" applyFont="1" applyFill="1" applyAlignment="1">
      <alignment horizontal="right"/>
    </xf>
    <xf numFmtId="9" fontId="5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right" vertical="center"/>
    </xf>
    <xf numFmtId="14" fontId="5" fillId="0" borderId="0" xfId="0" applyNumberFormat="1" applyFont="1" applyFill="1" applyAlignment="1">
      <alignment horizontal="left"/>
    </xf>
    <xf numFmtId="0" fontId="5" fillId="0" borderId="32" xfId="0" applyFont="1" applyFill="1" applyBorder="1" applyAlignment="1">
      <alignment horizontal="center" vertical="center" textRotation="90" wrapText="1"/>
    </xf>
    <xf numFmtId="0" fontId="5" fillId="0" borderId="33" xfId="0" applyFont="1" applyFill="1" applyBorder="1" applyAlignment="1">
      <alignment horizontal="center" vertical="center" textRotation="90" wrapText="1"/>
    </xf>
    <xf numFmtId="0" fontId="8" fillId="0" borderId="34" xfId="0" applyFont="1" applyFill="1" applyBorder="1" applyAlignment="1">
      <alignment horizontal="center" vertical="center" textRotation="90" wrapText="1"/>
    </xf>
    <xf numFmtId="165" fontId="5" fillId="0" borderId="5" xfId="0" applyNumberFormat="1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/>
    </xf>
    <xf numFmtId="164" fontId="5" fillId="0" borderId="44" xfId="2" applyNumberFormat="1" applyFont="1" applyFill="1" applyBorder="1" applyAlignment="1">
      <alignment horizontal="center" vertical="center"/>
    </xf>
    <xf numFmtId="164" fontId="5" fillId="0" borderId="45" xfId="2" applyNumberFormat="1" applyFont="1" applyFill="1" applyBorder="1" applyAlignment="1">
      <alignment horizontal="center" vertical="center"/>
    </xf>
    <xf numFmtId="164" fontId="8" fillId="0" borderId="46" xfId="2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wrapText="1"/>
    </xf>
    <xf numFmtId="0" fontId="5" fillId="0" borderId="29" xfId="0" applyFont="1" applyFill="1" applyBorder="1" applyAlignment="1">
      <alignment horizontal="right" vertical="center" wrapText="1"/>
    </xf>
    <xf numFmtId="164" fontId="8" fillId="0" borderId="30" xfId="2" applyNumberFormat="1" applyFont="1" applyFill="1" applyBorder="1" applyAlignment="1">
      <alignment horizontal="center" vertical="center"/>
    </xf>
    <xf numFmtId="164" fontId="5" fillId="0" borderId="5" xfId="2" applyNumberFormat="1" applyFont="1" applyFill="1" applyBorder="1" applyAlignment="1">
      <alignment horizontal="center" vertical="center"/>
    </xf>
    <xf numFmtId="164" fontId="5" fillId="0" borderId="29" xfId="2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left" vertical="center" wrapText="1"/>
    </xf>
    <xf numFmtId="164" fontId="8" fillId="0" borderId="10" xfId="3" applyNumberFormat="1" applyFont="1" applyFill="1" applyBorder="1" applyAlignment="1">
      <alignment horizontal="center"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0" borderId="14" xfId="3" applyNumberFormat="1" applyFont="1" applyFill="1" applyBorder="1" applyAlignment="1">
      <alignment horizontal="center" vertical="center"/>
    </xf>
    <xf numFmtId="9" fontId="5" fillId="0" borderId="40" xfId="0" applyNumberFormat="1" applyFont="1" applyFill="1" applyBorder="1" applyAlignment="1"/>
    <xf numFmtId="9" fontId="5" fillId="0" borderId="0" xfId="0" applyNumberFormat="1" applyFont="1" applyFill="1" applyAlignment="1"/>
    <xf numFmtId="165" fontId="5" fillId="0" borderId="1" xfId="0" applyNumberFormat="1" applyFont="1" applyFill="1" applyBorder="1" applyAlignment="1"/>
    <xf numFmtId="9" fontId="5" fillId="0" borderId="0" xfId="0" applyNumberFormat="1" applyFont="1" applyFill="1"/>
    <xf numFmtId="0" fontId="5" fillId="0" borderId="29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left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left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right" vertical="center" wrapText="1"/>
    </xf>
    <xf numFmtId="0" fontId="5" fillId="0" borderId="29" xfId="0" applyFont="1" applyFill="1" applyBorder="1" applyAlignment="1">
      <alignment horizontal="center"/>
    </xf>
    <xf numFmtId="0" fontId="5" fillId="0" borderId="29" xfId="0" applyFont="1" applyFill="1" applyBorder="1"/>
    <xf numFmtId="164" fontId="5" fillId="0" borderId="30" xfId="0" applyNumberFormat="1" applyFont="1" applyFill="1" applyBorder="1" applyAlignment="1">
      <alignment horizontal="center" vertical="center" wrapText="1"/>
    </xf>
    <xf numFmtId="0" fontId="5" fillId="0" borderId="45" xfId="0" applyFont="1" applyFill="1" applyBorder="1"/>
    <xf numFmtId="0" fontId="5" fillId="0" borderId="27" xfId="0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/>
    </xf>
    <xf numFmtId="2" fontId="5" fillId="0" borderId="30" xfId="0" applyNumberFormat="1" applyFont="1" applyFill="1" applyBorder="1" applyAlignment="1">
      <alignment horizontal="center" vertical="center"/>
    </xf>
    <xf numFmtId="2" fontId="5" fillId="0" borderId="29" xfId="0" applyNumberFormat="1" applyFont="1" applyFill="1" applyBorder="1" applyAlignment="1">
      <alignment horizontal="left" wrapText="1"/>
    </xf>
    <xf numFmtId="2" fontId="5" fillId="0" borderId="30" xfId="0" applyNumberFormat="1" applyFont="1" applyFill="1" applyBorder="1" applyAlignment="1">
      <alignment horizontal="center" vertical="top" wrapText="1"/>
    </xf>
    <xf numFmtId="0" fontId="5" fillId="0" borderId="29" xfId="0" applyFont="1" applyFill="1" applyBorder="1" applyAlignment="1">
      <alignment horizontal="center" vertical="top" wrapText="1"/>
    </xf>
    <xf numFmtId="0" fontId="5" fillId="0" borderId="29" xfId="0" applyFont="1" applyFill="1" applyBorder="1" applyAlignment="1">
      <alignment horizontal="left" wrapText="1"/>
    </xf>
    <xf numFmtId="0" fontId="5" fillId="0" borderId="29" xfId="0" applyFont="1" applyFill="1" applyBorder="1" applyAlignment="1">
      <alignment horizontal="right" wrapText="1"/>
    </xf>
    <xf numFmtId="0" fontId="5" fillId="0" borderId="29" xfId="0" applyFont="1" applyFill="1" applyBorder="1" applyAlignment="1">
      <alignment horizontal="left"/>
    </xf>
    <xf numFmtId="2" fontId="5" fillId="0" borderId="47" xfId="0" applyNumberFormat="1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right" vertical="center"/>
    </xf>
    <xf numFmtId="0" fontId="5" fillId="0" borderId="47" xfId="4" applyNumberFormat="1" applyFont="1" applyFill="1" applyBorder="1" applyAlignment="1" applyProtection="1">
      <alignment horizontal="left" vertical="center" wrapText="1"/>
    </xf>
    <xf numFmtId="0" fontId="5" fillId="0" borderId="47" xfId="4" applyNumberFormat="1" applyFont="1" applyFill="1" applyBorder="1" applyAlignment="1" applyProtection="1">
      <alignment horizontal="center" vertical="center" wrapText="1"/>
    </xf>
    <xf numFmtId="0" fontId="5" fillId="0" borderId="47" xfId="5" applyNumberFormat="1" applyFont="1" applyFill="1" applyBorder="1" applyAlignment="1" applyProtection="1">
      <alignment horizontal="right" vertical="center" wrapText="1"/>
    </xf>
    <xf numFmtId="14" fontId="5" fillId="0" borderId="0" xfId="0" applyNumberFormat="1" applyFont="1" applyFill="1" applyAlignment="1"/>
    <xf numFmtId="0" fontId="5" fillId="0" borderId="29" xfId="0" applyFont="1" applyFill="1" applyBorder="1" applyAlignment="1">
      <alignment horizontal="center" wrapText="1"/>
    </xf>
    <xf numFmtId="0" fontId="5" fillId="0" borderId="27" xfId="0" applyFont="1" applyFill="1" applyBorder="1" applyAlignment="1">
      <alignment wrapText="1"/>
    </xf>
    <xf numFmtId="0" fontId="5" fillId="0" borderId="27" xfId="0" applyFont="1" applyFill="1" applyBorder="1" applyAlignment="1">
      <alignment horizontal="center" wrapText="1"/>
    </xf>
    <xf numFmtId="0" fontId="5" fillId="0" borderId="0" xfId="0" applyFont="1" applyFill="1" applyAlignment="1">
      <alignment vertical="justify"/>
    </xf>
    <xf numFmtId="164" fontId="5" fillId="0" borderId="0" xfId="0" applyNumberFormat="1" applyFont="1" applyFill="1" applyAlignment="1">
      <alignment horizontal="center" vertical="justify"/>
    </xf>
    <xf numFmtId="0" fontId="5" fillId="0" borderId="0" xfId="0" applyFont="1" applyFill="1" applyAlignment="1">
      <alignment horizontal="center" vertical="justify"/>
    </xf>
    <xf numFmtId="0" fontId="5" fillId="0" borderId="26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4" fontId="5" fillId="0" borderId="21" xfId="0" applyNumberFormat="1" applyFont="1" applyFill="1" applyBorder="1" applyAlignment="1">
      <alignment horizontal="center" vertical="center" wrapText="1"/>
    </xf>
    <xf numFmtId="164" fontId="5" fillId="0" borderId="43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164" fontId="5" fillId="0" borderId="22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164" fontId="5" fillId="0" borderId="29" xfId="0" applyNumberFormat="1" applyFont="1" applyFill="1" applyBorder="1" applyAlignment="1">
      <alignment horizontal="center" vertical="center" wrapText="1"/>
    </xf>
    <xf numFmtId="164" fontId="5" fillId="0" borderId="16" xfId="0" quotePrefix="1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29" xfId="0" applyNumberFormat="1" applyFont="1" applyFill="1" applyBorder="1" applyAlignment="1">
      <alignment horizontal="center" vertical="center"/>
    </xf>
    <xf numFmtId="164" fontId="5" fillId="0" borderId="16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8" fillId="0" borderId="10" xfId="0" applyNumberFormat="1" applyFont="1" applyFill="1" applyBorder="1" applyAlignment="1">
      <alignment horizontal="center"/>
    </xf>
    <xf numFmtId="166" fontId="8" fillId="0" borderId="4" xfId="0" applyNumberFormat="1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164" fontId="5" fillId="0" borderId="0" xfId="0" applyNumberFormat="1" applyFont="1" applyFill="1"/>
    <xf numFmtId="10" fontId="5" fillId="0" borderId="0" xfId="0" applyNumberFormat="1" applyFont="1" applyFill="1"/>
    <xf numFmtId="166" fontId="5" fillId="0" borderId="7" xfId="0" applyNumberFormat="1" applyFont="1" applyFill="1" applyBorder="1" applyAlignment="1">
      <alignment horizontal="center"/>
    </xf>
    <xf numFmtId="164" fontId="5" fillId="0" borderId="36" xfId="0" applyNumberFormat="1" applyFont="1" applyFill="1" applyBorder="1" applyAlignment="1">
      <alignment horizontal="center"/>
    </xf>
    <xf numFmtId="166" fontId="8" fillId="0" borderId="7" xfId="0" applyNumberFormat="1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164" fontId="5" fillId="0" borderId="35" xfId="0" applyNumberFormat="1" applyFont="1" applyFill="1" applyBorder="1" applyAlignment="1">
      <alignment horizontal="center"/>
    </xf>
    <xf numFmtId="2" fontId="5" fillId="0" borderId="0" xfId="0" applyNumberFormat="1" applyFont="1" applyFill="1"/>
    <xf numFmtId="1" fontId="5" fillId="0" borderId="0" xfId="0" applyNumberFormat="1" applyFont="1" applyFill="1" applyAlignment="1"/>
    <xf numFmtId="0" fontId="5" fillId="0" borderId="0" xfId="0" applyFont="1" applyFill="1" applyAlignment="1">
      <alignment horizontal="center" wrapText="1"/>
    </xf>
    <xf numFmtId="2" fontId="0" fillId="0" borderId="0" xfId="0" applyNumberFormat="1"/>
    <xf numFmtId="0" fontId="0" fillId="0" borderId="53" xfId="0" applyBorder="1"/>
    <xf numFmtId="0" fontId="0" fillId="0" borderId="54" xfId="0" applyBorder="1"/>
    <xf numFmtId="0" fontId="0" fillId="0" borderId="19" xfId="0" applyBorder="1"/>
    <xf numFmtId="0" fontId="0" fillId="0" borderId="40" xfId="0" applyBorder="1"/>
    <xf numFmtId="0" fontId="0" fillId="0" borderId="0" xfId="0" applyBorder="1"/>
    <xf numFmtId="0" fontId="0" fillId="0" borderId="25" xfId="0" applyBorder="1"/>
    <xf numFmtId="2" fontId="0" fillId="0" borderId="0" xfId="0" applyNumberFormat="1" applyBorder="1"/>
    <xf numFmtId="2" fontId="0" fillId="0" borderId="25" xfId="0" applyNumberFormat="1" applyBorder="1"/>
    <xf numFmtId="0" fontId="0" fillId="0" borderId="37" xfId="0" applyBorder="1"/>
    <xf numFmtId="0" fontId="0" fillId="0" borderId="38" xfId="0" applyBorder="1"/>
    <xf numFmtId="2" fontId="0" fillId="0" borderId="38" xfId="0" applyNumberFormat="1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35" xfId="0" applyBorder="1"/>
    <xf numFmtId="0" fontId="0" fillId="0" borderId="56" xfId="0" applyBorder="1" applyAlignment="1">
      <alignment wrapText="1"/>
    </xf>
    <xf numFmtId="0" fontId="0" fillId="0" borderId="0" xfId="0" applyAlignment="1">
      <alignment wrapText="1"/>
    </xf>
    <xf numFmtId="2" fontId="0" fillId="0" borderId="35" xfId="0" applyNumberFormat="1" applyBorder="1"/>
    <xf numFmtId="0" fontId="8" fillId="0" borderId="29" xfId="0" applyFont="1" applyFill="1" applyBorder="1" applyAlignment="1">
      <alignment horizontal="center" vertical="center" wrapText="1"/>
    </xf>
    <xf numFmtId="2" fontId="0" fillId="0" borderId="40" xfId="0" applyNumberFormat="1" applyBorder="1"/>
    <xf numFmtId="2" fontId="0" fillId="0" borderId="55" xfId="0" applyNumberFormat="1" applyBorder="1"/>
    <xf numFmtId="0" fontId="0" fillId="0" borderId="37" xfId="0" applyBorder="1" applyAlignment="1">
      <alignment wrapText="1"/>
    </xf>
    <xf numFmtId="0" fontId="0" fillId="0" borderId="0" xfId="0" applyFill="1" applyBorder="1"/>
    <xf numFmtId="0" fontId="0" fillId="0" borderId="54" xfId="0" applyFill="1" applyBorder="1"/>
    <xf numFmtId="0" fontId="0" fillId="0" borderId="19" xfId="0" applyFill="1" applyBorder="1"/>
    <xf numFmtId="2" fontId="10" fillId="0" borderId="37" xfId="0" applyNumberFormat="1" applyFont="1" applyBorder="1"/>
    <xf numFmtId="2" fontId="10" fillId="0" borderId="55" xfId="0" applyNumberFormat="1" applyFont="1" applyBorder="1"/>
    <xf numFmtId="0" fontId="0" fillId="0" borderId="53" xfId="0" applyFill="1" applyBorder="1"/>
    <xf numFmtId="0" fontId="1" fillId="0" borderId="0" xfId="0" applyFont="1" applyFill="1" applyAlignment="1">
      <alignment vertical="center"/>
    </xf>
    <xf numFmtId="164" fontId="1" fillId="0" borderId="4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2" fontId="5" fillId="0" borderId="30" xfId="0" applyNumberFormat="1" applyFont="1" applyFill="1" applyBorder="1" applyAlignment="1">
      <alignment horizontal="center" vertical="center" wrapText="1"/>
    </xf>
    <xf numFmtId="2" fontId="5" fillId="0" borderId="51" xfId="0" applyNumberFormat="1" applyFont="1" applyFill="1" applyBorder="1" applyAlignment="1">
      <alignment horizontal="center" vertical="center" wrapText="1"/>
    </xf>
    <xf numFmtId="2" fontId="5" fillId="0" borderId="48" xfId="0" applyNumberFormat="1" applyFont="1" applyFill="1" applyBorder="1" applyAlignment="1">
      <alignment horizontal="center" vertical="center" wrapText="1"/>
    </xf>
    <xf numFmtId="2" fontId="5" fillId="0" borderId="52" xfId="0" applyNumberFormat="1" applyFont="1" applyFill="1" applyBorder="1" applyAlignment="1">
      <alignment horizontal="center" vertical="center" wrapText="1"/>
    </xf>
    <xf numFmtId="2" fontId="5" fillId="0" borderId="29" xfId="0" applyNumberFormat="1" applyFont="1" applyFill="1" applyBorder="1" applyAlignment="1">
      <alignment horizontal="center" vertical="center" wrapText="1"/>
    </xf>
    <xf numFmtId="2" fontId="5" fillId="0" borderId="28" xfId="0" applyNumberFormat="1" applyFont="1" applyFill="1" applyBorder="1" applyAlignment="1">
      <alignment horizontal="center" vertical="center" wrapText="1"/>
    </xf>
    <xf numFmtId="164" fontId="5" fillId="0" borderId="30" xfId="0" applyNumberFormat="1" applyFont="1" applyFill="1" applyBorder="1" applyAlignment="1">
      <alignment horizontal="center"/>
    </xf>
    <xf numFmtId="2" fontId="5" fillId="0" borderId="49" xfId="0" applyNumberFormat="1" applyFont="1" applyFill="1" applyBorder="1" applyAlignment="1">
      <alignment horizontal="center" vertical="top" wrapText="1"/>
    </xf>
    <xf numFmtId="0" fontId="5" fillId="0" borderId="30" xfId="0" applyFont="1" applyFill="1" applyBorder="1" applyAlignment="1">
      <alignment horizontal="center" wrapText="1"/>
    </xf>
    <xf numFmtId="0" fontId="5" fillId="0" borderId="2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29" xfId="0" applyFont="1" applyFill="1" applyBorder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5" fillId="0" borderId="32" xfId="0" applyFont="1" applyFill="1" applyBorder="1" applyAlignment="1">
      <alignment horizontal="center" vertical="center" textRotation="90" wrapText="1"/>
    </xf>
    <xf numFmtId="0" fontId="5" fillId="0" borderId="33" xfId="0" applyFont="1" applyFill="1" applyBorder="1" applyAlignment="1">
      <alignment horizontal="center" vertical="center" textRotation="90" wrapText="1"/>
    </xf>
    <xf numFmtId="0" fontId="0" fillId="4" borderId="53" xfId="0" applyFill="1" applyBorder="1"/>
    <xf numFmtId="0" fontId="0" fillId="4" borderId="54" xfId="0" applyFill="1" applyBorder="1"/>
    <xf numFmtId="0" fontId="0" fillId="4" borderId="19" xfId="0" applyFill="1" applyBorder="1"/>
    <xf numFmtId="0" fontId="0" fillId="4" borderId="40" xfId="0" applyFill="1" applyBorder="1"/>
    <xf numFmtId="0" fontId="0" fillId="4" borderId="0" xfId="0" applyFill="1" applyBorder="1"/>
    <xf numFmtId="0" fontId="0" fillId="4" borderId="25" xfId="0" applyFill="1" applyBorder="1"/>
    <xf numFmtId="2" fontId="0" fillId="4" borderId="40" xfId="0" applyNumberFormat="1" applyFill="1" applyBorder="1"/>
    <xf numFmtId="2" fontId="0" fillId="4" borderId="0" xfId="0" applyNumberFormat="1" applyFill="1" applyBorder="1"/>
    <xf numFmtId="0" fontId="0" fillId="4" borderId="37" xfId="0" applyFill="1" applyBorder="1"/>
    <xf numFmtId="0" fontId="0" fillId="4" borderId="38" xfId="0" applyFill="1" applyBorder="1"/>
    <xf numFmtId="0" fontId="0" fillId="4" borderId="55" xfId="0" applyFill="1" applyBorder="1"/>
    <xf numFmtId="0" fontId="5" fillId="0" borderId="0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10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wrapText="1"/>
    </xf>
    <xf numFmtId="0" fontId="8" fillId="0" borderId="0" xfId="0" applyFont="1" applyFill="1" applyAlignment="1">
      <alignment horizontal="right" vertical="justify"/>
    </xf>
    <xf numFmtId="164" fontId="8" fillId="0" borderId="41" xfId="0" applyNumberFormat="1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5" fillId="0" borderId="15" xfId="0" applyFont="1" applyFill="1" applyBorder="1" applyAlignment="1">
      <alignment horizontal="center" vertical="top"/>
    </xf>
    <xf numFmtId="164" fontId="8" fillId="0" borderId="39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center" vertical="justify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164" fontId="5" fillId="0" borderId="39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64" fontId="5" fillId="0" borderId="29" xfId="0" applyNumberFormat="1" applyFont="1" applyFill="1" applyBorder="1" applyAlignment="1">
      <alignment horizontal="left" vertical="top" wrapText="1"/>
    </xf>
    <xf numFmtId="164" fontId="5" fillId="0" borderId="30" xfId="0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164" fontId="5" fillId="0" borderId="21" xfId="0" applyNumberFormat="1" applyFont="1" applyFill="1" applyBorder="1" applyAlignment="1">
      <alignment horizontal="left" vertical="top" wrapText="1"/>
    </xf>
    <xf numFmtId="164" fontId="5" fillId="0" borderId="22" xfId="0" applyNumberFormat="1" applyFont="1" applyFill="1" applyBorder="1" applyAlignment="1">
      <alignment horizontal="left" vertical="top" wrapText="1"/>
    </xf>
    <xf numFmtId="0" fontId="8" fillId="0" borderId="37" xfId="0" applyFont="1" applyFill="1" applyBorder="1" applyAlignment="1">
      <alignment horizontal="right"/>
    </xf>
    <xf numFmtId="0" fontId="8" fillId="0" borderId="38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0" fontId="8" fillId="0" borderId="21" xfId="0" applyFont="1" applyFill="1" applyBorder="1" applyAlignment="1">
      <alignment horizontal="right"/>
    </xf>
    <xf numFmtId="0" fontId="8" fillId="0" borderId="22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29" xfId="0" applyFont="1" applyFill="1" applyBorder="1" applyAlignment="1">
      <alignment horizontal="right"/>
    </xf>
    <xf numFmtId="0" fontId="5" fillId="0" borderId="30" xfId="0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8" fillId="0" borderId="29" xfId="0" applyFont="1" applyFill="1" applyBorder="1" applyAlignment="1">
      <alignment horizontal="right"/>
    </xf>
    <xf numFmtId="0" fontId="8" fillId="0" borderId="30" xfId="0" applyFont="1" applyFill="1" applyBorder="1" applyAlignment="1">
      <alignment horizontal="right"/>
    </xf>
    <xf numFmtId="0" fontId="8" fillId="0" borderId="32" xfId="0" applyFont="1" applyFill="1" applyBorder="1" applyAlignment="1">
      <alignment horizontal="right"/>
    </xf>
    <xf numFmtId="0" fontId="8" fillId="0" borderId="33" xfId="0" applyFont="1" applyFill="1" applyBorder="1" applyAlignment="1">
      <alignment horizontal="right"/>
    </xf>
    <xf numFmtId="0" fontId="8" fillId="0" borderId="34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right" vertical="center"/>
    </xf>
    <xf numFmtId="0" fontId="5" fillId="0" borderId="32" xfId="0" applyFont="1" applyFill="1" applyBorder="1" applyAlignment="1">
      <alignment horizontal="center" vertical="center" textRotation="90" wrapText="1"/>
    </xf>
    <xf numFmtId="0" fontId="5" fillId="0" borderId="21" xfId="0" applyFont="1" applyFill="1" applyBorder="1" applyAlignment="1">
      <alignment horizontal="center" vertical="center" textRotation="90" wrapText="1"/>
    </xf>
    <xf numFmtId="0" fontId="5" fillId="0" borderId="33" xfId="0" applyFont="1" applyFill="1" applyBorder="1" applyAlignment="1">
      <alignment horizontal="center" vertical="center" textRotation="90" wrapText="1"/>
    </xf>
    <xf numFmtId="0" fontId="5" fillId="0" borderId="3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textRotation="90"/>
    </xf>
    <xf numFmtId="0" fontId="5" fillId="0" borderId="33" xfId="0" applyFont="1" applyFill="1" applyBorder="1" applyAlignment="1">
      <alignment horizontal="center" vertical="center" textRotation="90"/>
    </xf>
    <xf numFmtId="164" fontId="5" fillId="0" borderId="0" xfId="0" applyNumberFormat="1" applyFont="1" applyFill="1" applyAlignment="1">
      <alignment horizontal="center" vertical="center"/>
    </xf>
    <xf numFmtId="165" fontId="5" fillId="0" borderId="39" xfId="0" applyNumberFormat="1" applyFont="1" applyFill="1" applyBorder="1" applyAlignment="1">
      <alignment horizontal="left" wrapText="1"/>
    </xf>
    <xf numFmtId="0" fontId="5" fillId="0" borderId="22" xfId="0" applyFont="1" applyFill="1" applyBorder="1" applyAlignment="1">
      <alignment horizontal="center" vertical="center" textRotation="90" wrapText="1"/>
    </xf>
    <xf numFmtId="0" fontId="5" fillId="0" borderId="34" xfId="0" applyFont="1" applyFill="1" applyBorder="1" applyAlignment="1">
      <alignment horizontal="center" vertical="center" textRotation="90" wrapText="1"/>
    </xf>
    <xf numFmtId="165" fontId="5" fillId="0" borderId="1" xfId="0" applyNumberFormat="1" applyFont="1" applyFill="1" applyBorder="1" applyAlignment="1">
      <alignment wrapText="1"/>
    </xf>
    <xf numFmtId="0" fontId="8" fillId="0" borderId="10" xfId="3" applyFont="1" applyFill="1" applyBorder="1" applyAlignment="1">
      <alignment horizontal="right" wrapText="1"/>
    </xf>
    <xf numFmtId="0" fontId="8" fillId="0" borderId="13" xfId="3" applyFont="1" applyFill="1" applyBorder="1" applyAlignment="1">
      <alignment horizontal="right" wrapText="1"/>
    </xf>
    <xf numFmtId="0" fontId="8" fillId="0" borderId="14" xfId="3" applyFont="1" applyFill="1" applyBorder="1" applyAlignment="1">
      <alignment horizontal="right" wrapText="1"/>
    </xf>
    <xf numFmtId="0" fontId="2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/>
    </xf>
    <xf numFmtId="165" fontId="1" fillId="0" borderId="39" xfId="0" applyNumberFormat="1" applyFont="1" applyBorder="1" applyAlignment="1">
      <alignment horizontal="left" wrapText="1"/>
    </xf>
    <xf numFmtId="164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0" fontId="1" fillId="0" borderId="22" xfId="0" applyFont="1" applyFill="1" applyBorder="1" applyAlignment="1">
      <alignment horizontal="center" vertical="center" textRotation="90" wrapText="1"/>
    </xf>
    <xf numFmtId="0" fontId="1" fillId="0" borderId="34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right" vertical="center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165" fontId="1" fillId="0" borderId="1" xfId="0" applyNumberFormat="1" applyFont="1" applyBorder="1" applyAlignment="1">
      <alignment wrapText="1"/>
    </xf>
  </cellXfs>
  <cellStyles count="6">
    <cellStyle name="Excel_BuiltIn_Bad 2" xfId="5"/>
    <cellStyle name="Excel_BuiltIn_Good 2" xfId="4"/>
    <cellStyle name="Normal" xfId="0" builtinId="0"/>
    <cellStyle name="Normal 2" xfId="2"/>
    <cellStyle name="Обычный_33. OZOLNIEKU NOVADA DOME_OZO SKOLA_TELPU, GAITENU, KAPNU TELPU REMONTS_TAME_VADIMS_2011_02_25_melnraksts" xfId="1"/>
    <cellStyle name="Обычный_saulkrasti_tame" xfId="3"/>
  </cellStyles>
  <dxfs count="249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C36"/>
  <sheetViews>
    <sheetView tabSelected="1" view="pageLayout" zoomScaleNormal="100" workbookViewId="0">
      <selection activeCell="A37" sqref="A37"/>
    </sheetView>
  </sheetViews>
  <sheetFormatPr defaultRowHeight="11.25" x14ac:dyDescent="0.2"/>
  <cols>
    <col min="1" max="1" width="16.85546875" style="39" customWidth="1"/>
    <col min="2" max="2" width="43.42578125" style="39" customWidth="1"/>
    <col min="3" max="3" width="22.42578125" style="39" customWidth="1"/>
    <col min="4" max="210" width="9.140625" style="39"/>
    <col min="211" max="211" width="1.42578125" style="39" customWidth="1"/>
    <col min="212" max="212" width="2.140625" style="39" customWidth="1"/>
    <col min="213" max="213" width="16.85546875" style="39" customWidth="1"/>
    <col min="214" max="214" width="43.42578125" style="39" customWidth="1"/>
    <col min="215" max="215" width="22.42578125" style="39" customWidth="1"/>
    <col min="216" max="216" width="9.140625" style="39"/>
    <col min="217" max="217" width="13.85546875" style="39" bestFit="1" customWidth="1"/>
    <col min="218" max="466" width="9.140625" style="39"/>
    <col min="467" max="467" width="1.42578125" style="39" customWidth="1"/>
    <col min="468" max="468" width="2.140625" style="39" customWidth="1"/>
    <col min="469" max="469" width="16.85546875" style="39" customWidth="1"/>
    <col min="470" max="470" width="43.42578125" style="39" customWidth="1"/>
    <col min="471" max="471" width="22.42578125" style="39" customWidth="1"/>
    <col min="472" max="472" width="9.140625" style="39"/>
    <col min="473" max="473" width="13.85546875" style="39" bestFit="1" customWidth="1"/>
    <col min="474" max="722" width="9.140625" style="39"/>
    <col min="723" max="723" width="1.42578125" style="39" customWidth="1"/>
    <col min="724" max="724" width="2.140625" style="39" customWidth="1"/>
    <col min="725" max="725" width="16.85546875" style="39" customWidth="1"/>
    <col min="726" max="726" width="43.42578125" style="39" customWidth="1"/>
    <col min="727" max="727" width="22.42578125" style="39" customWidth="1"/>
    <col min="728" max="728" width="9.140625" style="39"/>
    <col min="729" max="729" width="13.85546875" style="39" bestFit="1" customWidth="1"/>
    <col min="730" max="978" width="9.140625" style="39"/>
    <col min="979" max="979" width="1.42578125" style="39" customWidth="1"/>
    <col min="980" max="980" width="2.140625" style="39" customWidth="1"/>
    <col min="981" max="981" width="16.85546875" style="39" customWidth="1"/>
    <col min="982" max="982" width="43.42578125" style="39" customWidth="1"/>
    <col min="983" max="983" width="22.42578125" style="39" customWidth="1"/>
    <col min="984" max="984" width="9.140625" style="39"/>
    <col min="985" max="985" width="13.85546875" style="39" bestFit="1" customWidth="1"/>
    <col min="986" max="1234" width="9.140625" style="39"/>
    <col min="1235" max="1235" width="1.42578125" style="39" customWidth="1"/>
    <col min="1236" max="1236" width="2.140625" style="39" customWidth="1"/>
    <col min="1237" max="1237" width="16.85546875" style="39" customWidth="1"/>
    <col min="1238" max="1238" width="43.42578125" style="39" customWidth="1"/>
    <col min="1239" max="1239" width="22.42578125" style="39" customWidth="1"/>
    <col min="1240" max="1240" width="9.140625" style="39"/>
    <col min="1241" max="1241" width="13.85546875" style="39" bestFit="1" customWidth="1"/>
    <col min="1242" max="1490" width="9.140625" style="39"/>
    <col min="1491" max="1491" width="1.42578125" style="39" customWidth="1"/>
    <col min="1492" max="1492" width="2.140625" style="39" customWidth="1"/>
    <col min="1493" max="1493" width="16.85546875" style="39" customWidth="1"/>
    <col min="1494" max="1494" width="43.42578125" style="39" customWidth="1"/>
    <col min="1495" max="1495" width="22.42578125" style="39" customWidth="1"/>
    <col min="1496" max="1496" width="9.140625" style="39"/>
    <col min="1497" max="1497" width="13.85546875" style="39" bestFit="1" customWidth="1"/>
    <col min="1498" max="1746" width="9.140625" style="39"/>
    <col min="1747" max="1747" width="1.42578125" style="39" customWidth="1"/>
    <col min="1748" max="1748" width="2.140625" style="39" customWidth="1"/>
    <col min="1749" max="1749" width="16.85546875" style="39" customWidth="1"/>
    <col min="1750" max="1750" width="43.42578125" style="39" customWidth="1"/>
    <col min="1751" max="1751" width="22.42578125" style="39" customWidth="1"/>
    <col min="1752" max="1752" width="9.140625" style="39"/>
    <col min="1753" max="1753" width="13.85546875" style="39" bestFit="1" customWidth="1"/>
    <col min="1754" max="2002" width="9.140625" style="39"/>
    <col min="2003" max="2003" width="1.42578125" style="39" customWidth="1"/>
    <col min="2004" max="2004" width="2.140625" style="39" customWidth="1"/>
    <col min="2005" max="2005" width="16.85546875" style="39" customWidth="1"/>
    <col min="2006" max="2006" width="43.42578125" style="39" customWidth="1"/>
    <col min="2007" max="2007" width="22.42578125" style="39" customWidth="1"/>
    <col min="2008" max="2008" width="9.140625" style="39"/>
    <col min="2009" max="2009" width="13.85546875" style="39" bestFit="1" customWidth="1"/>
    <col min="2010" max="2258" width="9.140625" style="39"/>
    <col min="2259" max="2259" width="1.42578125" style="39" customWidth="1"/>
    <col min="2260" max="2260" width="2.140625" style="39" customWidth="1"/>
    <col min="2261" max="2261" width="16.85546875" style="39" customWidth="1"/>
    <col min="2262" max="2262" width="43.42578125" style="39" customWidth="1"/>
    <col min="2263" max="2263" width="22.42578125" style="39" customWidth="1"/>
    <col min="2264" max="2264" width="9.140625" style="39"/>
    <col min="2265" max="2265" width="13.85546875" style="39" bestFit="1" customWidth="1"/>
    <col min="2266" max="2514" width="9.140625" style="39"/>
    <col min="2515" max="2515" width="1.42578125" style="39" customWidth="1"/>
    <col min="2516" max="2516" width="2.140625" style="39" customWidth="1"/>
    <col min="2517" max="2517" width="16.85546875" style="39" customWidth="1"/>
    <col min="2518" max="2518" width="43.42578125" style="39" customWidth="1"/>
    <col min="2519" max="2519" width="22.42578125" style="39" customWidth="1"/>
    <col min="2520" max="2520" width="9.140625" style="39"/>
    <col min="2521" max="2521" width="13.85546875" style="39" bestFit="1" customWidth="1"/>
    <col min="2522" max="2770" width="9.140625" style="39"/>
    <col min="2771" max="2771" width="1.42578125" style="39" customWidth="1"/>
    <col min="2772" max="2772" width="2.140625" style="39" customWidth="1"/>
    <col min="2773" max="2773" width="16.85546875" style="39" customWidth="1"/>
    <col min="2774" max="2774" width="43.42578125" style="39" customWidth="1"/>
    <col min="2775" max="2775" width="22.42578125" style="39" customWidth="1"/>
    <col min="2776" max="2776" width="9.140625" style="39"/>
    <col min="2777" max="2777" width="13.85546875" style="39" bestFit="1" customWidth="1"/>
    <col min="2778" max="3026" width="9.140625" style="39"/>
    <col min="3027" max="3027" width="1.42578125" style="39" customWidth="1"/>
    <col min="3028" max="3028" width="2.140625" style="39" customWidth="1"/>
    <col min="3029" max="3029" width="16.85546875" style="39" customWidth="1"/>
    <col min="3030" max="3030" width="43.42578125" style="39" customWidth="1"/>
    <col min="3031" max="3031" width="22.42578125" style="39" customWidth="1"/>
    <col min="3032" max="3032" width="9.140625" style="39"/>
    <col min="3033" max="3033" width="13.85546875" style="39" bestFit="1" customWidth="1"/>
    <col min="3034" max="3282" width="9.140625" style="39"/>
    <col min="3283" max="3283" width="1.42578125" style="39" customWidth="1"/>
    <col min="3284" max="3284" width="2.140625" style="39" customWidth="1"/>
    <col min="3285" max="3285" width="16.85546875" style="39" customWidth="1"/>
    <col min="3286" max="3286" width="43.42578125" style="39" customWidth="1"/>
    <col min="3287" max="3287" width="22.42578125" style="39" customWidth="1"/>
    <col min="3288" max="3288" width="9.140625" style="39"/>
    <col min="3289" max="3289" width="13.85546875" style="39" bestFit="1" customWidth="1"/>
    <col min="3290" max="3538" width="9.140625" style="39"/>
    <col min="3539" max="3539" width="1.42578125" style="39" customWidth="1"/>
    <col min="3540" max="3540" width="2.140625" style="39" customWidth="1"/>
    <col min="3541" max="3541" width="16.85546875" style="39" customWidth="1"/>
    <col min="3542" max="3542" width="43.42578125" style="39" customWidth="1"/>
    <col min="3543" max="3543" width="22.42578125" style="39" customWidth="1"/>
    <col min="3544" max="3544" width="9.140625" style="39"/>
    <col min="3545" max="3545" width="13.85546875" style="39" bestFit="1" customWidth="1"/>
    <col min="3546" max="3794" width="9.140625" style="39"/>
    <col min="3795" max="3795" width="1.42578125" style="39" customWidth="1"/>
    <col min="3796" max="3796" width="2.140625" style="39" customWidth="1"/>
    <col min="3797" max="3797" width="16.85546875" style="39" customWidth="1"/>
    <col min="3798" max="3798" width="43.42578125" style="39" customWidth="1"/>
    <col min="3799" max="3799" width="22.42578125" style="39" customWidth="1"/>
    <col min="3800" max="3800" width="9.140625" style="39"/>
    <col min="3801" max="3801" width="13.85546875" style="39" bestFit="1" customWidth="1"/>
    <col min="3802" max="4050" width="9.140625" style="39"/>
    <col min="4051" max="4051" width="1.42578125" style="39" customWidth="1"/>
    <col min="4052" max="4052" width="2.140625" style="39" customWidth="1"/>
    <col min="4053" max="4053" width="16.85546875" style="39" customWidth="1"/>
    <col min="4054" max="4054" width="43.42578125" style="39" customWidth="1"/>
    <col min="4055" max="4055" width="22.42578125" style="39" customWidth="1"/>
    <col min="4056" max="4056" width="9.140625" style="39"/>
    <col min="4057" max="4057" width="13.85546875" style="39" bestFit="1" customWidth="1"/>
    <col min="4058" max="4306" width="9.140625" style="39"/>
    <col min="4307" max="4307" width="1.42578125" style="39" customWidth="1"/>
    <col min="4308" max="4308" width="2.140625" style="39" customWidth="1"/>
    <col min="4309" max="4309" width="16.85546875" style="39" customWidth="1"/>
    <col min="4310" max="4310" width="43.42578125" style="39" customWidth="1"/>
    <col min="4311" max="4311" width="22.42578125" style="39" customWidth="1"/>
    <col min="4312" max="4312" width="9.140625" style="39"/>
    <col min="4313" max="4313" width="13.85546875" style="39" bestFit="1" customWidth="1"/>
    <col min="4314" max="4562" width="9.140625" style="39"/>
    <col min="4563" max="4563" width="1.42578125" style="39" customWidth="1"/>
    <col min="4564" max="4564" width="2.140625" style="39" customWidth="1"/>
    <col min="4565" max="4565" width="16.85546875" style="39" customWidth="1"/>
    <col min="4566" max="4566" width="43.42578125" style="39" customWidth="1"/>
    <col min="4567" max="4567" width="22.42578125" style="39" customWidth="1"/>
    <col min="4568" max="4568" width="9.140625" style="39"/>
    <col min="4569" max="4569" width="13.85546875" style="39" bestFit="1" customWidth="1"/>
    <col min="4570" max="4818" width="9.140625" style="39"/>
    <col min="4819" max="4819" width="1.42578125" style="39" customWidth="1"/>
    <col min="4820" max="4820" width="2.140625" style="39" customWidth="1"/>
    <col min="4821" max="4821" width="16.85546875" style="39" customWidth="1"/>
    <col min="4822" max="4822" width="43.42578125" style="39" customWidth="1"/>
    <col min="4823" max="4823" width="22.42578125" style="39" customWidth="1"/>
    <col min="4824" max="4824" width="9.140625" style="39"/>
    <col min="4825" max="4825" width="13.85546875" style="39" bestFit="1" customWidth="1"/>
    <col min="4826" max="5074" width="9.140625" style="39"/>
    <col min="5075" max="5075" width="1.42578125" style="39" customWidth="1"/>
    <col min="5076" max="5076" width="2.140625" style="39" customWidth="1"/>
    <col min="5077" max="5077" width="16.85546875" style="39" customWidth="1"/>
    <col min="5078" max="5078" width="43.42578125" style="39" customWidth="1"/>
    <col min="5079" max="5079" width="22.42578125" style="39" customWidth="1"/>
    <col min="5080" max="5080" width="9.140625" style="39"/>
    <col min="5081" max="5081" width="13.85546875" style="39" bestFit="1" customWidth="1"/>
    <col min="5082" max="5330" width="9.140625" style="39"/>
    <col min="5331" max="5331" width="1.42578125" style="39" customWidth="1"/>
    <col min="5332" max="5332" width="2.140625" style="39" customWidth="1"/>
    <col min="5333" max="5333" width="16.85546875" style="39" customWidth="1"/>
    <col min="5334" max="5334" width="43.42578125" style="39" customWidth="1"/>
    <col min="5335" max="5335" width="22.42578125" style="39" customWidth="1"/>
    <col min="5336" max="5336" width="9.140625" style="39"/>
    <col min="5337" max="5337" width="13.85546875" style="39" bestFit="1" customWidth="1"/>
    <col min="5338" max="5586" width="9.140625" style="39"/>
    <col min="5587" max="5587" width="1.42578125" style="39" customWidth="1"/>
    <col min="5588" max="5588" width="2.140625" style="39" customWidth="1"/>
    <col min="5589" max="5589" width="16.85546875" style="39" customWidth="1"/>
    <col min="5590" max="5590" width="43.42578125" style="39" customWidth="1"/>
    <col min="5591" max="5591" width="22.42578125" style="39" customWidth="1"/>
    <col min="5592" max="5592" width="9.140625" style="39"/>
    <col min="5593" max="5593" width="13.85546875" style="39" bestFit="1" customWidth="1"/>
    <col min="5594" max="5842" width="9.140625" style="39"/>
    <col min="5843" max="5843" width="1.42578125" style="39" customWidth="1"/>
    <col min="5844" max="5844" width="2.140625" style="39" customWidth="1"/>
    <col min="5845" max="5845" width="16.85546875" style="39" customWidth="1"/>
    <col min="5846" max="5846" width="43.42578125" style="39" customWidth="1"/>
    <col min="5847" max="5847" width="22.42578125" style="39" customWidth="1"/>
    <col min="5848" max="5848" width="9.140625" style="39"/>
    <col min="5849" max="5849" width="13.85546875" style="39" bestFit="1" customWidth="1"/>
    <col min="5850" max="6098" width="9.140625" style="39"/>
    <col min="6099" max="6099" width="1.42578125" style="39" customWidth="1"/>
    <col min="6100" max="6100" width="2.140625" style="39" customWidth="1"/>
    <col min="6101" max="6101" width="16.85546875" style="39" customWidth="1"/>
    <col min="6102" max="6102" width="43.42578125" style="39" customWidth="1"/>
    <col min="6103" max="6103" width="22.42578125" style="39" customWidth="1"/>
    <col min="6104" max="6104" width="9.140625" style="39"/>
    <col min="6105" max="6105" width="13.85546875" style="39" bestFit="1" customWidth="1"/>
    <col min="6106" max="6354" width="9.140625" style="39"/>
    <col min="6355" max="6355" width="1.42578125" style="39" customWidth="1"/>
    <col min="6356" max="6356" width="2.140625" style="39" customWidth="1"/>
    <col min="6357" max="6357" width="16.85546875" style="39" customWidth="1"/>
    <col min="6358" max="6358" width="43.42578125" style="39" customWidth="1"/>
    <col min="6359" max="6359" width="22.42578125" style="39" customWidth="1"/>
    <col min="6360" max="6360" width="9.140625" style="39"/>
    <col min="6361" max="6361" width="13.85546875" style="39" bestFit="1" customWidth="1"/>
    <col min="6362" max="6610" width="9.140625" style="39"/>
    <col min="6611" max="6611" width="1.42578125" style="39" customWidth="1"/>
    <col min="6612" max="6612" width="2.140625" style="39" customWidth="1"/>
    <col min="6613" max="6613" width="16.85546875" style="39" customWidth="1"/>
    <col min="6614" max="6614" width="43.42578125" style="39" customWidth="1"/>
    <col min="6615" max="6615" width="22.42578125" style="39" customWidth="1"/>
    <col min="6616" max="6616" width="9.140625" style="39"/>
    <col min="6617" max="6617" width="13.85546875" style="39" bestFit="1" customWidth="1"/>
    <col min="6618" max="6866" width="9.140625" style="39"/>
    <col min="6867" max="6867" width="1.42578125" style="39" customWidth="1"/>
    <col min="6868" max="6868" width="2.140625" style="39" customWidth="1"/>
    <col min="6869" max="6869" width="16.85546875" style="39" customWidth="1"/>
    <col min="6870" max="6870" width="43.42578125" style="39" customWidth="1"/>
    <col min="6871" max="6871" width="22.42578125" style="39" customWidth="1"/>
    <col min="6872" max="6872" width="9.140625" style="39"/>
    <col min="6873" max="6873" width="13.85546875" style="39" bestFit="1" customWidth="1"/>
    <col min="6874" max="7122" width="9.140625" style="39"/>
    <col min="7123" max="7123" width="1.42578125" style="39" customWidth="1"/>
    <col min="7124" max="7124" width="2.140625" style="39" customWidth="1"/>
    <col min="7125" max="7125" width="16.85546875" style="39" customWidth="1"/>
    <col min="7126" max="7126" width="43.42578125" style="39" customWidth="1"/>
    <col min="7127" max="7127" width="22.42578125" style="39" customWidth="1"/>
    <col min="7128" max="7128" width="9.140625" style="39"/>
    <col min="7129" max="7129" width="13.85546875" style="39" bestFit="1" customWidth="1"/>
    <col min="7130" max="7378" width="9.140625" style="39"/>
    <col min="7379" max="7379" width="1.42578125" style="39" customWidth="1"/>
    <col min="7380" max="7380" width="2.140625" style="39" customWidth="1"/>
    <col min="7381" max="7381" width="16.85546875" style="39" customWidth="1"/>
    <col min="7382" max="7382" width="43.42578125" style="39" customWidth="1"/>
    <col min="7383" max="7383" width="22.42578125" style="39" customWidth="1"/>
    <col min="7384" max="7384" width="9.140625" style="39"/>
    <col min="7385" max="7385" width="13.85546875" style="39" bestFit="1" customWidth="1"/>
    <col min="7386" max="7634" width="9.140625" style="39"/>
    <col min="7635" max="7635" width="1.42578125" style="39" customWidth="1"/>
    <col min="7636" max="7636" width="2.140625" style="39" customWidth="1"/>
    <col min="7637" max="7637" width="16.85546875" style="39" customWidth="1"/>
    <col min="7638" max="7638" width="43.42578125" style="39" customWidth="1"/>
    <col min="7639" max="7639" width="22.42578125" style="39" customWidth="1"/>
    <col min="7640" max="7640" width="9.140625" style="39"/>
    <col min="7641" max="7641" width="13.85546875" style="39" bestFit="1" customWidth="1"/>
    <col min="7642" max="7890" width="9.140625" style="39"/>
    <col min="7891" max="7891" width="1.42578125" style="39" customWidth="1"/>
    <col min="7892" max="7892" width="2.140625" style="39" customWidth="1"/>
    <col min="7893" max="7893" width="16.85546875" style="39" customWidth="1"/>
    <col min="7894" max="7894" width="43.42578125" style="39" customWidth="1"/>
    <col min="7895" max="7895" width="22.42578125" style="39" customWidth="1"/>
    <col min="7896" max="7896" width="9.140625" style="39"/>
    <col min="7897" max="7897" width="13.85546875" style="39" bestFit="1" customWidth="1"/>
    <col min="7898" max="8146" width="9.140625" style="39"/>
    <col min="8147" max="8147" width="1.42578125" style="39" customWidth="1"/>
    <col min="8148" max="8148" width="2.140625" style="39" customWidth="1"/>
    <col min="8149" max="8149" width="16.85546875" style="39" customWidth="1"/>
    <col min="8150" max="8150" width="43.42578125" style="39" customWidth="1"/>
    <col min="8151" max="8151" width="22.42578125" style="39" customWidth="1"/>
    <col min="8152" max="8152" width="9.140625" style="39"/>
    <col min="8153" max="8153" width="13.85546875" style="39" bestFit="1" customWidth="1"/>
    <col min="8154" max="8402" width="9.140625" style="39"/>
    <col min="8403" max="8403" width="1.42578125" style="39" customWidth="1"/>
    <col min="8404" max="8404" width="2.140625" style="39" customWidth="1"/>
    <col min="8405" max="8405" width="16.85546875" style="39" customWidth="1"/>
    <col min="8406" max="8406" width="43.42578125" style="39" customWidth="1"/>
    <col min="8407" max="8407" width="22.42578125" style="39" customWidth="1"/>
    <col min="8408" max="8408" width="9.140625" style="39"/>
    <col min="8409" max="8409" width="13.85546875" style="39" bestFit="1" customWidth="1"/>
    <col min="8410" max="8658" width="9.140625" style="39"/>
    <col min="8659" max="8659" width="1.42578125" style="39" customWidth="1"/>
    <col min="8660" max="8660" width="2.140625" style="39" customWidth="1"/>
    <col min="8661" max="8661" width="16.85546875" style="39" customWidth="1"/>
    <col min="8662" max="8662" width="43.42578125" style="39" customWidth="1"/>
    <col min="8663" max="8663" width="22.42578125" style="39" customWidth="1"/>
    <col min="8664" max="8664" width="9.140625" style="39"/>
    <col min="8665" max="8665" width="13.85546875" style="39" bestFit="1" customWidth="1"/>
    <col min="8666" max="8914" width="9.140625" style="39"/>
    <col min="8915" max="8915" width="1.42578125" style="39" customWidth="1"/>
    <col min="8916" max="8916" width="2.140625" style="39" customWidth="1"/>
    <col min="8917" max="8917" width="16.85546875" style="39" customWidth="1"/>
    <col min="8918" max="8918" width="43.42578125" style="39" customWidth="1"/>
    <col min="8919" max="8919" width="22.42578125" style="39" customWidth="1"/>
    <col min="8920" max="8920" width="9.140625" style="39"/>
    <col min="8921" max="8921" width="13.85546875" style="39" bestFit="1" customWidth="1"/>
    <col min="8922" max="9170" width="9.140625" style="39"/>
    <col min="9171" max="9171" width="1.42578125" style="39" customWidth="1"/>
    <col min="9172" max="9172" width="2.140625" style="39" customWidth="1"/>
    <col min="9173" max="9173" width="16.85546875" style="39" customWidth="1"/>
    <col min="9174" max="9174" width="43.42578125" style="39" customWidth="1"/>
    <col min="9175" max="9175" width="22.42578125" style="39" customWidth="1"/>
    <col min="9176" max="9176" width="9.140625" style="39"/>
    <col min="9177" max="9177" width="13.85546875" style="39" bestFit="1" customWidth="1"/>
    <col min="9178" max="9426" width="9.140625" style="39"/>
    <col min="9427" max="9427" width="1.42578125" style="39" customWidth="1"/>
    <col min="9428" max="9428" width="2.140625" style="39" customWidth="1"/>
    <col min="9429" max="9429" width="16.85546875" style="39" customWidth="1"/>
    <col min="9430" max="9430" width="43.42578125" style="39" customWidth="1"/>
    <col min="9431" max="9431" width="22.42578125" style="39" customWidth="1"/>
    <col min="9432" max="9432" width="9.140625" style="39"/>
    <col min="9433" max="9433" width="13.85546875" style="39" bestFit="1" customWidth="1"/>
    <col min="9434" max="9682" width="9.140625" style="39"/>
    <col min="9683" max="9683" width="1.42578125" style="39" customWidth="1"/>
    <col min="9684" max="9684" width="2.140625" style="39" customWidth="1"/>
    <col min="9685" max="9685" width="16.85546875" style="39" customWidth="1"/>
    <col min="9686" max="9686" width="43.42578125" style="39" customWidth="1"/>
    <col min="9687" max="9687" width="22.42578125" style="39" customWidth="1"/>
    <col min="9688" max="9688" width="9.140625" style="39"/>
    <col min="9689" max="9689" width="13.85546875" style="39" bestFit="1" customWidth="1"/>
    <col min="9690" max="9938" width="9.140625" style="39"/>
    <col min="9939" max="9939" width="1.42578125" style="39" customWidth="1"/>
    <col min="9940" max="9940" width="2.140625" style="39" customWidth="1"/>
    <col min="9941" max="9941" width="16.85546875" style="39" customWidth="1"/>
    <col min="9942" max="9942" width="43.42578125" style="39" customWidth="1"/>
    <col min="9943" max="9943" width="22.42578125" style="39" customWidth="1"/>
    <col min="9944" max="9944" width="9.140625" style="39"/>
    <col min="9945" max="9945" width="13.85546875" style="39" bestFit="1" customWidth="1"/>
    <col min="9946" max="10194" width="9.140625" style="39"/>
    <col min="10195" max="10195" width="1.42578125" style="39" customWidth="1"/>
    <col min="10196" max="10196" width="2.140625" style="39" customWidth="1"/>
    <col min="10197" max="10197" width="16.85546875" style="39" customWidth="1"/>
    <col min="10198" max="10198" width="43.42578125" style="39" customWidth="1"/>
    <col min="10199" max="10199" width="22.42578125" style="39" customWidth="1"/>
    <col min="10200" max="10200" width="9.140625" style="39"/>
    <col min="10201" max="10201" width="13.85546875" style="39" bestFit="1" customWidth="1"/>
    <col min="10202" max="10450" width="9.140625" style="39"/>
    <col min="10451" max="10451" width="1.42578125" style="39" customWidth="1"/>
    <col min="10452" max="10452" width="2.140625" style="39" customWidth="1"/>
    <col min="10453" max="10453" width="16.85546875" style="39" customWidth="1"/>
    <col min="10454" max="10454" width="43.42578125" style="39" customWidth="1"/>
    <col min="10455" max="10455" width="22.42578125" style="39" customWidth="1"/>
    <col min="10456" max="10456" width="9.140625" style="39"/>
    <col min="10457" max="10457" width="13.85546875" style="39" bestFit="1" customWidth="1"/>
    <col min="10458" max="10706" width="9.140625" style="39"/>
    <col min="10707" max="10707" width="1.42578125" style="39" customWidth="1"/>
    <col min="10708" max="10708" width="2.140625" style="39" customWidth="1"/>
    <col min="10709" max="10709" width="16.85546875" style="39" customWidth="1"/>
    <col min="10710" max="10710" width="43.42578125" style="39" customWidth="1"/>
    <col min="10711" max="10711" width="22.42578125" style="39" customWidth="1"/>
    <col min="10712" max="10712" width="9.140625" style="39"/>
    <col min="10713" max="10713" width="13.85546875" style="39" bestFit="1" customWidth="1"/>
    <col min="10714" max="10962" width="9.140625" style="39"/>
    <col min="10963" max="10963" width="1.42578125" style="39" customWidth="1"/>
    <col min="10964" max="10964" width="2.140625" style="39" customWidth="1"/>
    <col min="10965" max="10965" width="16.85546875" style="39" customWidth="1"/>
    <col min="10966" max="10966" width="43.42578125" style="39" customWidth="1"/>
    <col min="10967" max="10967" width="22.42578125" style="39" customWidth="1"/>
    <col min="10968" max="10968" width="9.140625" style="39"/>
    <col min="10969" max="10969" width="13.85546875" style="39" bestFit="1" customWidth="1"/>
    <col min="10970" max="11218" width="9.140625" style="39"/>
    <col min="11219" max="11219" width="1.42578125" style="39" customWidth="1"/>
    <col min="11220" max="11220" width="2.140625" style="39" customWidth="1"/>
    <col min="11221" max="11221" width="16.85546875" style="39" customWidth="1"/>
    <col min="11222" max="11222" width="43.42578125" style="39" customWidth="1"/>
    <col min="11223" max="11223" width="22.42578125" style="39" customWidth="1"/>
    <col min="11224" max="11224" width="9.140625" style="39"/>
    <col min="11225" max="11225" width="13.85546875" style="39" bestFit="1" customWidth="1"/>
    <col min="11226" max="11474" width="9.140625" style="39"/>
    <col min="11475" max="11475" width="1.42578125" style="39" customWidth="1"/>
    <col min="11476" max="11476" width="2.140625" style="39" customWidth="1"/>
    <col min="11477" max="11477" width="16.85546875" style="39" customWidth="1"/>
    <col min="11478" max="11478" width="43.42578125" style="39" customWidth="1"/>
    <col min="11479" max="11479" width="22.42578125" style="39" customWidth="1"/>
    <col min="11480" max="11480" width="9.140625" style="39"/>
    <col min="11481" max="11481" width="13.85546875" style="39" bestFit="1" customWidth="1"/>
    <col min="11482" max="11730" width="9.140625" style="39"/>
    <col min="11731" max="11731" width="1.42578125" style="39" customWidth="1"/>
    <col min="11732" max="11732" width="2.140625" style="39" customWidth="1"/>
    <col min="11733" max="11733" width="16.85546875" style="39" customWidth="1"/>
    <col min="11734" max="11734" width="43.42578125" style="39" customWidth="1"/>
    <col min="11735" max="11735" width="22.42578125" style="39" customWidth="1"/>
    <col min="11736" max="11736" width="9.140625" style="39"/>
    <col min="11737" max="11737" width="13.85546875" style="39" bestFit="1" customWidth="1"/>
    <col min="11738" max="11986" width="9.140625" style="39"/>
    <col min="11987" max="11987" width="1.42578125" style="39" customWidth="1"/>
    <col min="11988" max="11988" width="2.140625" style="39" customWidth="1"/>
    <col min="11989" max="11989" width="16.85546875" style="39" customWidth="1"/>
    <col min="11990" max="11990" width="43.42578125" style="39" customWidth="1"/>
    <col min="11991" max="11991" width="22.42578125" style="39" customWidth="1"/>
    <col min="11992" max="11992" width="9.140625" style="39"/>
    <col min="11993" max="11993" width="13.85546875" style="39" bestFit="1" customWidth="1"/>
    <col min="11994" max="12242" width="9.140625" style="39"/>
    <col min="12243" max="12243" width="1.42578125" style="39" customWidth="1"/>
    <col min="12244" max="12244" width="2.140625" style="39" customWidth="1"/>
    <col min="12245" max="12245" width="16.85546875" style="39" customWidth="1"/>
    <col min="12246" max="12246" width="43.42578125" style="39" customWidth="1"/>
    <col min="12247" max="12247" width="22.42578125" style="39" customWidth="1"/>
    <col min="12248" max="12248" width="9.140625" style="39"/>
    <col min="12249" max="12249" width="13.85546875" style="39" bestFit="1" customWidth="1"/>
    <col min="12250" max="12498" width="9.140625" style="39"/>
    <col min="12499" max="12499" width="1.42578125" style="39" customWidth="1"/>
    <col min="12500" max="12500" width="2.140625" style="39" customWidth="1"/>
    <col min="12501" max="12501" width="16.85546875" style="39" customWidth="1"/>
    <col min="12502" max="12502" width="43.42578125" style="39" customWidth="1"/>
    <col min="12503" max="12503" width="22.42578125" style="39" customWidth="1"/>
    <col min="12504" max="12504" width="9.140625" style="39"/>
    <col min="12505" max="12505" width="13.85546875" style="39" bestFit="1" customWidth="1"/>
    <col min="12506" max="12754" width="9.140625" style="39"/>
    <col min="12755" max="12755" width="1.42578125" style="39" customWidth="1"/>
    <col min="12756" max="12756" width="2.140625" style="39" customWidth="1"/>
    <col min="12757" max="12757" width="16.85546875" style="39" customWidth="1"/>
    <col min="12758" max="12758" width="43.42578125" style="39" customWidth="1"/>
    <col min="12759" max="12759" width="22.42578125" style="39" customWidth="1"/>
    <col min="12760" max="12760" width="9.140625" style="39"/>
    <col min="12761" max="12761" width="13.85546875" style="39" bestFit="1" customWidth="1"/>
    <col min="12762" max="13010" width="9.140625" style="39"/>
    <col min="13011" max="13011" width="1.42578125" style="39" customWidth="1"/>
    <col min="13012" max="13012" width="2.140625" style="39" customWidth="1"/>
    <col min="13013" max="13013" width="16.85546875" style="39" customWidth="1"/>
    <col min="13014" max="13014" width="43.42578125" style="39" customWidth="1"/>
    <col min="13015" max="13015" width="22.42578125" style="39" customWidth="1"/>
    <col min="13016" max="13016" width="9.140625" style="39"/>
    <col min="13017" max="13017" width="13.85546875" style="39" bestFit="1" customWidth="1"/>
    <col min="13018" max="13266" width="9.140625" style="39"/>
    <col min="13267" max="13267" width="1.42578125" style="39" customWidth="1"/>
    <col min="13268" max="13268" width="2.140625" style="39" customWidth="1"/>
    <col min="13269" max="13269" width="16.85546875" style="39" customWidth="1"/>
    <col min="13270" max="13270" width="43.42578125" style="39" customWidth="1"/>
    <col min="13271" max="13271" width="22.42578125" style="39" customWidth="1"/>
    <col min="13272" max="13272" width="9.140625" style="39"/>
    <col min="13273" max="13273" width="13.85546875" style="39" bestFit="1" customWidth="1"/>
    <col min="13274" max="13522" width="9.140625" style="39"/>
    <col min="13523" max="13523" width="1.42578125" style="39" customWidth="1"/>
    <col min="13524" max="13524" width="2.140625" style="39" customWidth="1"/>
    <col min="13525" max="13525" width="16.85546875" style="39" customWidth="1"/>
    <col min="13526" max="13526" width="43.42578125" style="39" customWidth="1"/>
    <col min="13527" max="13527" width="22.42578125" style="39" customWidth="1"/>
    <col min="13528" max="13528" width="9.140625" style="39"/>
    <col min="13529" max="13529" width="13.85546875" style="39" bestFit="1" customWidth="1"/>
    <col min="13530" max="13778" width="9.140625" style="39"/>
    <col min="13779" max="13779" width="1.42578125" style="39" customWidth="1"/>
    <col min="13780" max="13780" width="2.140625" style="39" customWidth="1"/>
    <col min="13781" max="13781" width="16.85546875" style="39" customWidth="1"/>
    <col min="13782" max="13782" width="43.42578125" style="39" customWidth="1"/>
    <col min="13783" max="13783" width="22.42578125" style="39" customWidth="1"/>
    <col min="13784" max="13784" width="9.140625" style="39"/>
    <col min="13785" max="13785" width="13.85546875" style="39" bestFit="1" customWidth="1"/>
    <col min="13786" max="14034" width="9.140625" style="39"/>
    <col min="14035" max="14035" width="1.42578125" style="39" customWidth="1"/>
    <col min="14036" max="14036" width="2.140625" style="39" customWidth="1"/>
    <col min="14037" max="14037" width="16.85546875" style="39" customWidth="1"/>
    <col min="14038" max="14038" width="43.42578125" style="39" customWidth="1"/>
    <col min="14039" max="14039" width="22.42578125" style="39" customWidth="1"/>
    <col min="14040" max="14040" width="9.140625" style="39"/>
    <col min="14041" max="14041" width="13.85546875" style="39" bestFit="1" customWidth="1"/>
    <col min="14042" max="14290" width="9.140625" style="39"/>
    <col min="14291" max="14291" width="1.42578125" style="39" customWidth="1"/>
    <col min="14292" max="14292" width="2.140625" style="39" customWidth="1"/>
    <col min="14293" max="14293" width="16.85546875" style="39" customWidth="1"/>
    <col min="14294" max="14294" width="43.42578125" style="39" customWidth="1"/>
    <col min="14295" max="14295" width="22.42578125" style="39" customWidth="1"/>
    <col min="14296" max="14296" width="9.140625" style="39"/>
    <col min="14297" max="14297" width="13.85546875" style="39" bestFit="1" customWidth="1"/>
    <col min="14298" max="14546" width="9.140625" style="39"/>
    <col min="14547" max="14547" width="1.42578125" style="39" customWidth="1"/>
    <col min="14548" max="14548" width="2.140625" style="39" customWidth="1"/>
    <col min="14549" max="14549" width="16.85546875" style="39" customWidth="1"/>
    <col min="14550" max="14550" width="43.42578125" style="39" customWidth="1"/>
    <col min="14551" max="14551" width="22.42578125" style="39" customWidth="1"/>
    <col min="14552" max="14552" width="9.140625" style="39"/>
    <col min="14553" max="14553" width="13.85546875" style="39" bestFit="1" customWidth="1"/>
    <col min="14554" max="14802" width="9.140625" style="39"/>
    <col min="14803" max="14803" width="1.42578125" style="39" customWidth="1"/>
    <col min="14804" max="14804" width="2.140625" style="39" customWidth="1"/>
    <col min="14805" max="14805" width="16.85546875" style="39" customWidth="1"/>
    <col min="14806" max="14806" width="43.42578125" style="39" customWidth="1"/>
    <col min="14807" max="14807" width="22.42578125" style="39" customWidth="1"/>
    <col min="14808" max="14808" width="9.140625" style="39"/>
    <col min="14809" max="14809" width="13.85546875" style="39" bestFit="1" customWidth="1"/>
    <col min="14810" max="15058" width="9.140625" style="39"/>
    <col min="15059" max="15059" width="1.42578125" style="39" customWidth="1"/>
    <col min="15060" max="15060" width="2.140625" style="39" customWidth="1"/>
    <col min="15061" max="15061" width="16.85546875" style="39" customWidth="1"/>
    <col min="15062" max="15062" width="43.42578125" style="39" customWidth="1"/>
    <col min="15063" max="15063" width="22.42578125" style="39" customWidth="1"/>
    <col min="15064" max="15064" width="9.140625" style="39"/>
    <col min="15065" max="15065" width="13.85546875" style="39" bestFit="1" customWidth="1"/>
    <col min="15066" max="15314" width="9.140625" style="39"/>
    <col min="15315" max="15315" width="1.42578125" style="39" customWidth="1"/>
    <col min="15316" max="15316" width="2.140625" style="39" customWidth="1"/>
    <col min="15317" max="15317" width="16.85546875" style="39" customWidth="1"/>
    <col min="15318" max="15318" width="43.42578125" style="39" customWidth="1"/>
    <col min="15319" max="15319" width="22.42578125" style="39" customWidth="1"/>
    <col min="15320" max="15320" width="9.140625" style="39"/>
    <col min="15321" max="15321" width="13.85546875" style="39" bestFit="1" customWidth="1"/>
    <col min="15322" max="15570" width="9.140625" style="39"/>
    <col min="15571" max="15571" width="1.42578125" style="39" customWidth="1"/>
    <col min="15572" max="15572" width="2.140625" style="39" customWidth="1"/>
    <col min="15573" max="15573" width="16.85546875" style="39" customWidth="1"/>
    <col min="15574" max="15574" width="43.42578125" style="39" customWidth="1"/>
    <col min="15575" max="15575" width="22.42578125" style="39" customWidth="1"/>
    <col min="15576" max="15576" width="9.140625" style="39"/>
    <col min="15577" max="15577" width="13.85546875" style="39" bestFit="1" customWidth="1"/>
    <col min="15578" max="15826" width="9.140625" style="39"/>
    <col min="15827" max="15827" width="1.42578125" style="39" customWidth="1"/>
    <col min="15828" max="15828" width="2.140625" style="39" customWidth="1"/>
    <col min="15829" max="15829" width="16.85546875" style="39" customWidth="1"/>
    <col min="15830" max="15830" width="43.42578125" style="39" customWidth="1"/>
    <col min="15831" max="15831" width="22.42578125" style="39" customWidth="1"/>
    <col min="15832" max="15832" width="9.140625" style="39"/>
    <col min="15833" max="15833" width="13.85546875" style="39" bestFit="1" customWidth="1"/>
    <col min="15834" max="16082" width="9.140625" style="39"/>
    <col min="16083" max="16083" width="1.42578125" style="39" customWidth="1"/>
    <col min="16084" max="16084" width="2.140625" style="39" customWidth="1"/>
    <col min="16085" max="16085" width="16.85546875" style="39" customWidth="1"/>
    <col min="16086" max="16086" width="43.42578125" style="39" customWidth="1"/>
    <col min="16087" max="16087" width="22.42578125" style="39" customWidth="1"/>
    <col min="16088" max="16088" width="9.140625" style="39"/>
    <col min="16089" max="16089" width="13.85546875" style="39" bestFit="1" customWidth="1"/>
    <col min="16090" max="16384" width="9.140625" style="39"/>
  </cols>
  <sheetData>
    <row r="2" spans="1:3" x14ac:dyDescent="0.2">
      <c r="C2" s="40" t="s">
        <v>0</v>
      </c>
    </row>
    <row r="3" spans="1:3" x14ac:dyDescent="0.2">
      <c r="A3" s="40"/>
      <c r="B3" s="41"/>
      <c r="C3" s="41"/>
    </row>
    <row r="4" spans="1:3" x14ac:dyDescent="0.2">
      <c r="B4" s="223" t="s">
        <v>1</v>
      </c>
      <c r="C4" s="223"/>
    </row>
    <row r="5" spans="1:3" x14ac:dyDescent="0.2">
      <c r="A5" s="40"/>
      <c r="B5" s="40"/>
      <c r="C5" s="40"/>
    </row>
    <row r="6" spans="1:3" x14ac:dyDescent="0.2">
      <c r="C6" s="42" t="s">
        <v>2</v>
      </c>
    </row>
    <row r="8" spans="1:3" x14ac:dyDescent="0.2">
      <c r="B8" s="224" t="s">
        <v>3</v>
      </c>
      <c r="C8" s="224"/>
    </row>
    <row r="11" spans="1:3" x14ac:dyDescent="0.2">
      <c r="B11" s="40" t="s">
        <v>4</v>
      </c>
    </row>
    <row r="12" spans="1:3" x14ac:dyDescent="0.2">
      <c r="B12" s="43" t="s">
        <v>52</v>
      </c>
    </row>
    <row r="13" spans="1:3" ht="22.5" x14ac:dyDescent="0.2">
      <c r="A13" s="42" t="s">
        <v>5</v>
      </c>
      <c r="B13" s="44" t="s">
        <v>55</v>
      </c>
      <c r="C13" s="44"/>
    </row>
    <row r="14" spans="1:3" ht="22.5" x14ac:dyDescent="0.2">
      <c r="A14" s="42" t="s">
        <v>6</v>
      </c>
      <c r="B14" s="44" t="s">
        <v>55</v>
      </c>
      <c r="C14" s="44"/>
    </row>
    <row r="15" spans="1:3" x14ac:dyDescent="0.2">
      <c r="A15" s="42" t="s">
        <v>7</v>
      </c>
      <c r="B15" s="45" t="s">
        <v>262</v>
      </c>
      <c r="C15" s="45"/>
    </row>
    <row r="16" spans="1:3" x14ac:dyDescent="0.2">
      <c r="A16" s="42" t="s">
        <v>8</v>
      </c>
      <c r="B16" s="46" t="s">
        <v>215</v>
      </c>
      <c r="C16" s="46"/>
    </row>
    <row r="17" spans="1:3" ht="12" thickBot="1" x14ac:dyDescent="0.25"/>
    <row r="18" spans="1:3" x14ac:dyDescent="0.2">
      <c r="A18" s="47" t="s">
        <v>9</v>
      </c>
      <c r="B18" s="48" t="s">
        <v>10</v>
      </c>
      <c r="C18" s="49" t="s">
        <v>11</v>
      </c>
    </row>
    <row r="19" spans="1:3" ht="22.5" x14ac:dyDescent="0.2">
      <c r="A19" s="50">
        <v>1</v>
      </c>
      <c r="B19" s="51" t="s">
        <v>55</v>
      </c>
      <c r="C19" s="52">
        <f>'Kops a'!E28</f>
        <v>0</v>
      </c>
    </row>
    <row r="20" spans="1:3" x14ac:dyDescent="0.2">
      <c r="A20" s="37"/>
      <c r="B20" s="38"/>
      <c r="C20" s="53"/>
    </row>
    <row r="21" spans="1:3" x14ac:dyDescent="0.2">
      <c r="A21" s="37"/>
      <c r="B21" s="54"/>
      <c r="C21" s="53"/>
    </row>
    <row r="22" spans="1:3" x14ac:dyDescent="0.2">
      <c r="A22" s="37"/>
      <c r="B22" s="54"/>
      <c r="C22" s="53"/>
    </row>
    <row r="23" spans="1:3" x14ac:dyDescent="0.2">
      <c r="A23" s="37"/>
      <c r="B23" s="54"/>
      <c r="C23" s="53"/>
    </row>
    <row r="24" spans="1:3" x14ac:dyDescent="0.2">
      <c r="A24" s="37"/>
      <c r="B24" s="54"/>
      <c r="C24" s="53"/>
    </row>
    <row r="25" spans="1:3" ht="12" thickBot="1" x14ac:dyDescent="0.25">
      <c r="A25" s="55"/>
      <c r="B25" s="56"/>
      <c r="C25" s="57"/>
    </row>
    <row r="26" spans="1:3" ht="12" thickBot="1" x14ac:dyDescent="0.25">
      <c r="A26" s="58"/>
      <c r="B26" s="59" t="s">
        <v>12</v>
      </c>
      <c r="C26" s="60">
        <f>SUM(C19:C25)</f>
        <v>0</v>
      </c>
    </row>
    <row r="27" spans="1:3" ht="12" thickBot="1" x14ac:dyDescent="0.25">
      <c r="B27" s="61"/>
      <c r="C27" s="62"/>
    </row>
    <row r="28" spans="1:3" ht="12" thickBot="1" x14ac:dyDescent="0.25">
      <c r="A28" s="225" t="s">
        <v>13</v>
      </c>
      <c r="B28" s="226"/>
      <c r="C28" s="63">
        <f>ROUND(C26*21%,2)</f>
        <v>0</v>
      </c>
    </row>
    <row r="31" spans="1:3" x14ac:dyDescent="0.2">
      <c r="A31" s="39" t="s">
        <v>14</v>
      </c>
      <c r="B31" s="227" t="s">
        <v>263</v>
      </c>
      <c r="C31" s="227"/>
    </row>
    <row r="32" spans="1:3" x14ac:dyDescent="0.2">
      <c r="B32" s="222" t="s">
        <v>15</v>
      </c>
      <c r="C32" s="222"/>
    </row>
    <row r="34" spans="1:3" x14ac:dyDescent="0.2">
      <c r="A34" s="39" t="s">
        <v>53</v>
      </c>
      <c r="B34" s="64" t="s">
        <v>264</v>
      </c>
      <c r="C34" s="64"/>
    </row>
    <row r="35" spans="1:3" x14ac:dyDescent="0.2">
      <c r="A35" s="64"/>
      <c r="B35" s="64"/>
      <c r="C35" s="64"/>
    </row>
    <row r="36" spans="1:3" x14ac:dyDescent="0.2">
      <c r="A36" s="39" t="s">
        <v>277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248" priority="9" operator="equal">
      <formula>0</formula>
    </cfRule>
  </conditionalFormatting>
  <conditionalFormatting sqref="B13:B16">
    <cfRule type="cellIs" dxfId="247" priority="8" operator="equal">
      <formula>0</formula>
    </cfRule>
  </conditionalFormatting>
  <conditionalFormatting sqref="B19">
    <cfRule type="cellIs" dxfId="246" priority="7" operator="equal">
      <formula>0</formula>
    </cfRule>
  </conditionalFormatting>
  <conditionalFormatting sqref="B34">
    <cfRule type="cellIs" dxfId="245" priority="5" operator="equal">
      <formula>0</formula>
    </cfRule>
  </conditionalFormatting>
  <conditionalFormatting sqref="B31:C31">
    <cfRule type="cellIs" dxfId="244" priority="3" operator="equal">
      <formula>0</formula>
    </cfRule>
  </conditionalFormatting>
  <conditionalFormatting sqref="A19">
    <cfRule type="cellIs" dxfId="243" priority="2" operator="equal">
      <formula>0</formula>
    </cfRule>
  </conditionalFormatting>
  <conditionalFormatting sqref="A36">
    <cfRule type="containsText" dxfId="242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P27"/>
  <sheetViews>
    <sheetView zoomScaleNormal="100" workbookViewId="0">
      <selection activeCell="F14" sqref="F14:P14"/>
    </sheetView>
  </sheetViews>
  <sheetFormatPr defaultColWidth="9.140625" defaultRowHeight="11.25" x14ac:dyDescent="0.2"/>
  <cols>
    <col min="1" max="1" width="4.5703125" style="39" customWidth="1"/>
    <col min="2" max="2" width="5.28515625" style="39" customWidth="1"/>
    <col min="3" max="3" width="38.42578125" style="39" customWidth="1"/>
    <col min="4" max="4" width="5.85546875" style="39" customWidth="1"/>
    <col min="5" max="5" width="8.7109375" style="39" customWidth="1"/>
    <col min="6" max="6" width="5.42578125" style="39" customWidth="1"/>
    <col min="7" max="7" width="4.85546875" style="39" customWidth="1"/>
    <col min="8" max="10" width="6.7109375" style="39" customWidth="1"/>
    <col min="11" max="11" width="7" style="39" customWidth="1"/>
    <col min="12" max="15" width="7.7109375" style="39" customWidth="1"/>
    <col min="16" max="16" width="9" style="39" customWidth="1"/>
    <col min="17" max="16384" width="9.140625" style="39"/>
  </cols>
  <sheetData>
    <row r="1" spans="1:16" x14ac:dyDescent="0.2">
      <c r="A1" s="65"/>
      <c r="B1" s="65"/>
      <c r="C1" s="66" t="s">
        <v>38</v>
      </c>
      <c r="D1" s="67">
        <f>'Kops a'!A21</f>
        <v>0</v>
      </c>
      <c r="E1" s="65"/>
      <c r="F1" s="65"/>
      <c r="G1" s="65"/>
      <c r="H1" s="65"/>
      <c r="I1" s="65"/>
      <c r="J1" s="65"/>
      <c r="N1" s="68"/>
      <c r="O1" s="66"/>
      <c r="P1" s="69"/>
    </row>
    <row r="2" spans="1:16" x14ac:dyDescent="0.2">
      <c r="A2" s="70"/>
      <c r="B2" s="70"/>
      <c r="C2" s="268" t="s">
        <v>62</v>
      </c>
      <c r="D2" s="268"/>
      <c r="E2" s="268"/>
      <c r="F2" s="268"/>
      <c r="G2" s="268"/>
      <c r="H2" s="268"/>
      <c r="I2" s="268"/>
      <c r="J2" s="70"/>
    </row>
    <row r="3" spans="1:16" x14ac:dyDescent="0.2">
      <c r="A3" s="71"/>
      <c r="B3" s="71"/>
      <c r="C3" s="231" t="s">
        <v>17</v>
      </c>
      <c r="D3" s="231"/>
      <c r="E3" s="231"/>
      <c r="F3" s="231"/>
      <c r="G3" s="231"/>
      <c r="H3" s="231"/>
      <c r="I3" s="231"/>
      <c r="J3" s="71"/>
    </row>
    <row r="4" spans="1:16" x14ac:dyDescent="0.2">
      <c r="A4" s="71"/>
      <c r="B4" s="71"/>
      <c r="C4" s="269" t="s">
        <v>52</v>
      </c>
      <c r="D4" s="269"/>
      <c r="E4" s="269"/>
      <c r="F4" s="269"/>
      <c r="G4" s="269"/>
      <c r="H4" s="269"/>
      <c r="I4" s="269"/>
      <c r="J4" s="71"/>
    </row>
    <row r="5" spans="1:16" x14ac:dyDescent="0.2">
      <c r="A5" s="65"/>
      <c r="B5" s="65"/>
      <c r="C5" s="66" t="s">
        <v>5</v>
      </c>
      <c r="D5" s="282" t="str">
        <f>'Kops a'!D6</f>
        <v>Daudzdzīvokļu dzīvojamās ēkas vienkāršota fasādes atjaunošana.</v>
      </c>
      <c r="E5" s="282"/>
      <c r="F5" s="282"/>
      <c r="G5" s="282"/>
      <c r="H5" s="282"/>
      <c r="I5" s="282"/>
      <c r="J5" s="282"/>
      <c r="K5" s="282"/>
      <c r="L5" s="282"/>
      <c r="M5" s="64"/>
      <c r="N5" s="64"/>
      <c r="O5" s="64"/>
      <c r="P5" s="64"/>
    </row>
    <row r="6" spans="1:16" x14ac:dyDescent="0.2">
      <c r="A6" s="65"/>
      <c r="B6" s="65"/>
      <c r="C6" s="66" t="s">
        <v>6</v>
      </c>
      <c r="D6" s="282" t="str">
        <f>'Kops a'!D7</f>
        <v>Daudzdzīvokļu dzīvojamās ēkas vienkāršota fasādes atjaunošana.</v>
      </c>
      <c r="E6" s="282"/>
      <c r="F6" s="282"/>
      <c r="G6" s="282"/>
      <c r="H6" s="282"/>
      <c r="I6" s="282"/>
      <c r="J6" s="282"/>
      <c r="K6" s="282"/>
      <c r="L6" s="282"/>
      <c r="M6" s="64"/>
      <c r="N6" s="64"/>
      <c r="O6" s="64"/>
      <c r="P6" s="64"/>
    </row>
    <row r="7" spans="1:16" x14ac:dyDescent="0.2">
      <c r="A7" s="65"/>
      <c r="B7" s="65"/>
      <c r="C7" s="66" t="s">
        <v>7</v>
      </c>
      <c r="D7" s="282" t="str">
        <f>'Kops a'!D8</f>
        <v>Smilšu iela 42, k-1, Tukums</v>
      </c>
      <c r="E7" s="282"/>
      <c r="F7" s="282"/>
      <c r="G7" s="282"/>
      <c r="H7" s="282"/>
      <c r="I7" s="282"/>
      <c r="J7" s="282"/>
      <c r="K7" s="282"/>
      <c r="L7" s="282"/>
      <c r="M7" s="64"/>
      <c r="N7" s="64"/>
      <c r="O7" s="64"/>
      <c r="P7" s="64"/>
    </row>
    <row r="8" spans="1:16" x14ac:dyDescent="0.2">
      <c r="A8" s="65"/>
      <c r="B8" s="65"/>
      <c r="C8" s="42" t="s">
        <v>20</v>
      </c>
      <c r="D8" s="282" t="str">
        <f>'Kops a'!D9</f>
        <v xml:space="preserve"> </v>
      </c>
      <c r="E8" s="282"/>
      <c r="F8" s="282"/>
      <c r="G8" s="282"/>
      <c r="H8" s="282"/>
      <c r="I8" s="282"/>
      <c r="J8" s="282"/>
      <c r="K8" s="282"/>
      <c r="L8" s="282"/>
      <c r="M8" s="64"/>
      <c r="N8" s="64"/>
      <c r="O8" s="64"/>
      <c r="P8" s="64"/>
    </row>
    <row r="9" spans="1:16" ht="11.25" customHeight="1" x14ac:dyDescent="0.2">
      <c r="A9" s="270" t="s">
        <v>293</v>
      </c>
      <c r="B9" s="270"/>
      <c r="C9" s="270"/>
      <c r="D9" s="270"/>
      <c r="E9" s="270"/>
      <c r="F9" s="270"/>
      <c r="G9" s="72"/>
      <c r="H9" s="72"/>
      <c r="I9" s="72"/>
      <c r="J9" s="274" t="s">
        <v>39</v>
      </c>
      <c r="K9" s="274"/>
      <c r="L9" s="274"/>
      <c r="M9" s="274"/>
      <c r="N9" s="281">
        <f>P15</f>
        <v>0</v>
      </c>
      <c r="O9" s="281"/>
      <c r="P9" s="72"/>
    </row>
    <row r="10" spans="1:16" x14ac:dyDescent="0.2">
      <c r="A10" s="73"/>
      <c r="B10" s="74"/>
      <c r="C10" s="42"/>
      <c r="D10" s="65"/>
      <c r="E10" s="65"/>
      <c r="F10" s="65"/>
      <c r="G10" s="65"/>
      <c r="H10" s="65"/>
      <c r="I10" s="65"/>
      <c r="J10" s="65"/>
      <c r="K10" s="65"/>
      <c r="L10" s="70"/>
      <c r="M10" s="70"/>
      <c r="O10" s="75"/>
      <c r="P10" s="76" t="str">
        <f>A21</f>
        <v>Tāme sastādīta 2021. gada 13. maijā</v>
      </c>
    </row>
    <row r="11" spans="1:16" ht="12" thickBot="1" x14ac:dyDescent="0.25">
      <c r="A11" s="73"/>
      <c r="B11" s="74"/>
      <c r="C11" s="42"/>
      <c r="D11" s="65"/>
      <c r="E11" s="65"/>
      <c r="F11" s="65"/>
      <c r="G11" s="65"/>
      <c r="H11" s="65"/>
      <c r="I11" s="65"/>
      <c r="J11" s="65"/>
      <c r="K11" s="65"/>
      <c r="L11" s="77"/>
      <c r="M11" s="77"/>
      <c r="N11" s="78"/>
      <c r="O11" s="68"/>
      <c r="P11" s="65"/>
    </row>
    <row r="12" spans="1:16" x14ac:dyDescent="0.2">
      <c r="A12" s="244" t="s">
        <v>23</v>
      </c>
      <c r="B12" s="276" t="s">
        <v>40</v>
      </c>
      <c r="C12" s="272" t="s">
        <v>41</v>
      </c>
      <c r="D12" s="279" t="s">
        <v>42</v>
      </c>
      <c r="E12" s="283" t="s">
        <v>43</v>
      </c>
      <c r="F12" s="271" t="s">
        <v>44</v>
      </c>
      <c r="G12" s="272"/>
      <c r="H12" s="272"/>
      <c r="I12" s="272"/>
      <c r="J12" s="272"/>
      <c r="K12" s="273"/>
      <c r="L12" s="271" t="s">
        <v>45</v>
      </c>
      <c r="M12" s="272"/>
      <c r="N12" s="272"/>
      <c r="O12" s="272"/>
      <c r="P12" s="273"/>
    </row>
    <row r="13" spans="1:16" ht="126.75" customHeight="1" thickBot="1" x14ac:dyDescent="0.25">
      <c r="A13" s="275"/>
      <c r="B13" s="277"/>
      <c r="C13" s="278"/>
      <c r="D13" s="280"/>
      <c r="E13" s="284"/>
      <c r="F13" s="79" t="s">
        <v>46</v>
      </c>
      <c r="G13" s="80" t="s">
        <v>47</v>
      </c>
      <c r="H13" s="80" t="s">
        <v>48</v>
      </c>
      <c r="I13" s="80" t="s">
        <v>49</v>
      </c>
      <c r="J13" s="80" t="s">
        <v>50</v>
      </c>
      <c r="K13" s="81" t="s">
        <v>51</v>
      </c>
      <c r="L13" s="79" t="s">
        <v>46</v>
      </c>
      <c r="M13" s="80" t="s">
        <v>48</v>
      </c>
      <c r="N13" s="80" t="s">
        <v>49</v>
      </c>
      <c r="O13" s="80" t="s">
        <v>50</v>
      </c>
      <c r="P13" s="81" t="s">
        <v>51</v>
      </c>
    </row>
    <row r="14" spans="1:16" ht="23.25" thickBot="1" x14ac:dyDescent="0.25">
      <c r="A14" s="82">
        <f>IF(E14&gt;0,IF(E14&gt;0,1+MAX(A13),0),0)</f>
        <v>1</v>
      </c>
      <c r="B14" s="83"/>
      <c r="C14" s="94" t="s">
        <v>197</v>
      </c>
      <c r="D14" s="102" t="s">
        <v>67</v>
      </c>
      <c r="E14" s="194">
        <v>84</v>
      </c>
      <c r="F14" s="86"/>
      <c r="G14" s="87"/>
      <c r="H14" s="87"/>
      <c r="I14" s="87"/>
      <c r="J14" s="87"/>
      <c r="K14" s="88"/>
      <c r="L14" s="86"/>
      <c r="M14" s="87"/>
      <c r="N14" s="87"/>
      <c r="O14" s="87"/>
      <c r="P14" s="88"/>
    </row>
    <row r="15" spans="1:16" ht="12" customHeight="1" thickBot="1" x14ac:dyDescent="0.25">
      <c r="A15" s="286" t="s">
        <v>278</v>
      </c>
      <c r="B15" s="287"/>
      <c r="C15" s="287"/>
      <c r="D15" s="287"/>
      <c r="E15" s="287"/>
      <c r="F15" s="287"/>
      <c r="G15" s="287"/>
      <c r="H15" s="287"/>
      <c r="I15" s="287"/>
      <c r="J15" s="287"/>
      <c r="K15" s="288"/>
      <c r="L15" s="95">
        <f>SUM(L14:L14)</f>
        <v>0</v>
      </c>
      <c r="M15" s="96">
        <f>SUM(M14:M14)</f>
        <v>0</v>
      </c>
      <c r="N15" s="96">
        <f>SUM(N14:N14)</f>
        <v>0</v>
      </c>
      <c r="O15" s="96">
        <f>SUM(O14:O14)</f>
        <v>0</v>
      </c>
      <c r="P15" s="97">
        <f>SUM(P14:P14)</f>
        <v>0</v>
      </c>
    </row>
    <row r="16" spans="1:16" x14ac:dyDescent="0.2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</row>
    <row r="17" spans="1:16" x14ac:dyDescent="0.2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</row>
    <row r="18" spans="1:16" x14ac:dyDescent="0.2">
      <c r="A18" s="39" t="s">
        <v>14</v>
      </c>
      <c r="B18" s="64"/>
      <c r="C18" s="285" t="str">
        <f>'Kops a'!C33:H33</f>
        <v>Armands Ūbelis</v>
      </c>
      <c r="D18" s="285"/>
      <c r="E18" s="285"/>
      <c r="F18" s="285"/>
      <c r="G18" s="285"/>
      <c r="H18" s="285"/>
      <c r="I18" s="64"/>
      <c r="J18" s="64"/>
      <c r="K18" s="64"/>
      <c r="L18" s="64"/>
      <c r="M18" s="64"/>
      <c r="N18" s="64"/>
      <c r="O18" s="64"/>
      <c r="P18" s="64"/>
    </row>
    <row r="19" spans="1:16" x14ac:dyDescent="0.2">
      <c r="A19" s="64"/>
      <c r="B19" s="64"/>
      <c r="C19" s="222" t="s">
        <v>15</v>
      </c>
      <c r="D19" s="222"/>
      <c r="E19" s="222"/>
      <c r="F19" s="222"/>
      <c r="G19" s="222"/>
      <c r="H19" s="222"/>
      <c r="I19" s="64"/>
      <c r="J19" s="64"/>
      <c r="K19" s="64"/>
      <c r="L19" s="64"/>
      <c r="M19" s="64"/>
      <c r="N19" s="64"/>
      <c r="O19" s="64"/>
      <c r="P19" s="64"/>
    </row>
    <row r="20" spans="1:16" x14ac:dyDescent="0.2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16" x14ac:dyDescent="0.2">
      <c r="A21" s="98" t="str">
        <f>'Kops a'!A36</f>
        <v>Tāme sastādīta 2021. gada 13. maijā</v>
      </c>
      <c r="B21" s="99"/>
      <c r="C21" s="99"/>
      <c r="D21" s="99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16" x14ac:dyDescent="0.2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16" x14ac:dyDescent="0.2">
      <c r="A23" s="39" t="s">
        <v>37</v>
      </c>
      <c r="B23" s="64"/>
      <c r="C23" s="285" t="str">
        <f>'Kops a'!C38:H38</f>
        <v xml:space="preserve"> </v>
      </c>
      <c r="D23" s="285"/>
      <c r="E23" s="285"/>
      <c r="F23" s="285"/>
      <c r="G23" s="285"/>
      <c r="H23" s="285"/>
      <c r="I23" s="64"/>
      <c r="J23" s="64"/>
      <c r="K23" s="64"/>
      <c r="L23" s="64"/>
      <c r="M23" s="64"/>
      <c r="N23" s="64"/>
      <c r="O23" s="64"/>
      <c r="P23" s="64"/>
    </row>
    <row r="24" spans="1:16" x14ac:dyDescent="0.2">
      <c r="A24" s="64"/>
      <c r="B24" s="64"/>
      <c r="C24" s="222" t="s">
        <v>15</v>
      </c>
      <c r="D24" s="222"/>
      <c r="E24" s="222"/>
      <c r="F24" s="222"/>
      <c r="G24" s="222"/>
      <c r="H24" s="222"/>
      <c r="I24" s="64"/>
      <c r="J24" s="64"/>
      <c r="K24" s="64"/>
      <c r="L24" s="64"/>
      <c r="M24" s="64"/>
      <c r="N24" s="64"/>
      <c r="O24" s="64"/>
      <c r="P24" s="64"/>
    </row>
    <row r="25" spans="1:16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</row>
    <row r="26" spans="1:16" x14ac:dyDescent="0.2">
      <c r="A26" s="98" t="s">
        <v>54</v>
      </c>
      <c r="B26" s="99"/>
      <c r="C26" s="100" t="str">
        <f>'Kops a'!C41</f>
        <v>4-02608</v>
      </c>
      <c r="D26" s="101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</row>
    <row r="27" spans="1:16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</row>
  </sheetData>
  <mergeCells count="22">
    <mergeCell ref="C24:H24"/>
    <mergeCell ref="C4:I4"/>
    <mergeCell ref="F12:K12"/>
    <mergeCell ref="A9:F9"/>
    <mergeCell ref="J9:M9"/>
    <mergeCell ref="D8:L8"/>
    <mergeCell ref="A15:K15"/>
    <mergeCell ref="C18:H18"/>
    <mergeCell ref="C19:H19"/>
    <mergeCell ref="C23:H23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N9:O9">
    <cfRule type="cellIs" dxfId="59" priority="34" operator="equal">
      <formula>0</formula>
    </cfRule>
  </conditionalFormatting>
  <conditionalFormatting sqref="C2:I2">
    <cfRule type="cellIs" dxfId="58" priority="31" operator="equal">
      <formula>0</formula>
    </cfRule>
  </conditionalFormatting>
  <conditionalFormatting sqref="O10">
    <cfRule type="cellIs" dxfId="57" priority="30" operator="equal">
      <formula>"20__. gada __. _________"</formula>
    </cfRule>
  </conditionalFormatting>
  <conditionalFormatting sqref="K14:P14 L15:P15">
    <cfRule type="cellIs" dxfId="56" priority="24" operator="equal">
      <formula>0</formula>
    </cfRule>
  </conditionalFormatting>
  <conditionalFormatting sqref="C4:I4">
    <cfRule type="cellIs" dxfId="55" priority="23" operator="equal">
      <formula>0</formula>
    </cfRule>
  </conditionalFormatting>
  <conditionalFormatting sqref="D5:L8">
    <cfRule type="cellIs" dxfId="54" priority="19" operator="equal">
      <formula>0</formula>
    </cfRule>
  </conditionalFormatting>
  <conditionalFormatting sqref="B14 D14:E14">
    <cfRule type="cellIs" dxfId="53" priority="18" operator="equal">
      <formula>0</formula>
    </cfRule>
  </conditionalFormatting>
  <conditionalFormatting sqref="C14">
    <cfRule type="cellIs" dxfId="52" priority="17" operator="equal">
      <formula>0</formula>
    </cfRule>
  </conditionalFormatting>
  <conditionalFormatting sqref="P10">
    <cfRule type="cellIs" dxfId="51" priority="15" operator="equal">
      <formula>"20__. gada __. _________"</formula>
    </cfRule>
  </conditionalFormatting>
  <conditionalFormatting sqref="C23:H23">
    <cfRule type="cellIs" dxfId="50" priority="12" operator="equal">
      <formula>0</formula>
    </cfRule>
  </conditionalFormatting>
  <conditionalFormatting sqref="C18:H18">
    <cfRule type="cellIs" dxfId="49" priority="11" operator="equal">
      <formula>0</formula>
    </cfRule>
  </conditionalFormatting>
  <conditionalFormatting sqref="C23:H23 C26 C18:H18">
    <cfRule type="cellIs" dxfId="48" priority="10" operator="equal">
      <formula>0</formula>
    </cfRule>
  </conditionalFormatting>
  <conditionalFormatting sqref="D1">
    <cfRule type="cellIs" dxfId="47" priority="9" operator="equal">
      <formula>0</formula>
    </cfRule>
  </conditionalFormatting>
  <conditionalFormatting sqref="A9:F9">
    <cfRule type="containsText" dxfId="46" priority="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5:K15">
    <cfRule type="containsText" dxfId="45" priority="7" operator="containsText" text="Tiešās izmaksas kopā, t. sk. darba devēja sociālais nodoklis __.__% ">
      <formula>NOT(ISERROR(SEARCH("Tiešās izmaksas kopā, t. sk. darba devēja sociālais nodoklis __.__% ",A15)))</formula>
    </cfRule>
  </conditionalFormatting>
  <conditionalFormatting sqref="A14">
    <cfRule type="cellIs" dxfId="44" priority="6" operator="equal">
      <formula>0</formula>
    </cfRule>
  </conditionalFormatting>
  <conditionalFormatting sqref="F14:G14 I14:J14">
    <cfRule type="cellIs" dxfId="43" priority="4" operator="equal">
      <formula>0</formula>
    </cfRule>
  </conditionalFormatting>
  <conditionalFormatting sqref="H14">
    <cfRule type="cellIs" dxfId="42" priority="3" operator="equal">
      <formula>0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36249DFF-DD18-40B1-AB61-D280DA74812E}">
            <xm:f>NOT(ISERROR(SEARCH("Tāme sastādīta ____. gada ___. ______________",A21)))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A21</xm:sqref>
        </x14:conditionalFormatting>
        <x14:conditionalFormatting xmlns:xm="http://schemas.microsoft.com/office/excel/2006/main">
          <x14:cfRule type="containsText" priority="13" operator="containsText" id="{708D048F-4463-4EB3-AF79-B8653AFFB42B}">
            <xm:f>NOT(ISERROR(SEARCH("Sertifikāta Nr. _________________________________",A26)))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P49"/>
  <sheetViews>
    <sheetView topLeftCell="A5" zoomScaleNormal="100" workbookViewId="0">
      <selection activeCell="F14" sqref="F14:P36"/>
    </sheetView>
  </sheetViews>
  <sheetFormatPr defaultColWidth="9.140625" defaultRowHeight="11.25" x14ac:dyDescent="0.2"/>
  <cols>
    <col min="1" max="1" width="4.5703125" style="39" customWidth="1"/>
    <col min="2" max="2" width="5.28515625" style="39" customWidth="1"/>
    <col min="3" max="3" width="38.42578125" style="39" customWidth="1"/>
    <col min="4" max="4" width="5.85546875" style="39" customWidth="1"/>
    <col min="5" max="5" width="8.7109375" style="204" customWidth="1"/>
    <col min="6" max="6" width="5.42578125" style="39" customWidth="1"/>
    <col min="7" max="7" width="4.85546875" style="39" customWidth="1"/>
    <col min="8" max="10" width="6.7109375" style="39" customWidth="1"/>
    <col min="11" max="11" width="7" style="39" customWidth="1"/>
    <col min="12" max="15" width="7.7109375" style="39" customWidth="1"/>
    <col min="16" max="16" width="9" style="39" customWidth="1"/>
    <col min="17" max="16384" width="9.140625" style="39"/>
  </cols>
  <sheetData>
    <row r="1" spans="1:16" x14ac:dyDescent="0.2">
      <c r="A1" s="65"/>
      <c r="B1" s="65"/>
      <c r="C1" s="66" t="s">
        <v>38</v>
      </c>
      <c r="D1" s="67">
        <f>'Kops a'!A22</f>
        <v>0</v>
      </c>
      <c r="E1" s="207"/>
      <c r="F1" s="65"/>
      <c r="G1" s="65"/>
      <c r="H1" s="65"/>
      <c r="I1" s="65"/>
      <c r="J1" s="65"/>
      <c r="N1" s="68"/>
      <c r="O1" s="66"/>
      <c r="P1" s="69"/>
    </row>
    <row r="2" spans="1:16" x14ac:dyDescent="0.2">
      <c r="A2" s="70"/>
      <c r="B2" s="70"/>
      <c r="C2" s="268" t="s">
        <v>63</v>
      </c>
      <c r="D2" s="268"/>
      <c r="E2" s="268"/>
      <c r="F2" s="268"/>
      <c r="G2" s="268"/>
      <c r="H2" s="268"/>
      <c r="I2" s="268"/>
      <c r="J2" s="70"/>
    </row>
    <row r="3" spans="1:16" x14ac:dyDescent="0.2">
      <c r="A3" s="71"/>
      <c r="B3" s="71"/>
      <c r="C3" s="231" t="s">
        <v>17</v>
      </c>
      <c r="D3" s="231"/>
      <c r="E3" s="231"/>
      <c r="F3" s="231"/>
      <c r="G3" s="231"/>
      <c r="H3" s="231"/>
      <c r="I3" s="231"/>
      <c r="J3" s="71"/>
    </row>
    <row r="4" spans="1:16" x14ac:dyDescent="0.2">
      <c r="A4" s="71"/>
      <c r="B4" s="71"/>
      <c r="C4" s="269" t="s">
        <v>52</v>
      </c>
      <c r="D4" s="269"/>
      <c r="E4" s="269"/>
      <c r="F4" s="269"/>
      <c r="G4" s="269"/>
      <c r="H4" s="269"/>
      <c r="I4" s="269"/>
      <c r="J4" s="71"/>
    </row>
    <row r="5" spans="1:16" x14ac:dyDescent="0.2">
      <c r="A5" s="65"/>
      <c r="B5" s="65"/>
      <c r="C5" s="66" t="s">
        <v>5</v>
      </c>
      <c r="D5" s="282" t="str">
        <f>'Kops a'!D6</f>
        <v>Daudzdzīvokļu dzīvojamās ēkas vienkāršota fasādes atjaunošana.</v>
      </c>
      <c r="E5" s="282"/>
      <c r="F5" s="282"/>
      <c r="G5" s="282"/>
      <c r="H5" s="282"/>
      <c r="I5" s="282"/>
      <c r="J5" s="282"/>
      <c r="K5" s="282"/>
      <c r="L5" s="282"/>
      <c r="M5" s="64"/>
      <c r="N5" s="64"/>
      <c r="O5" s="64"/>
      <c r="P5" s="64"/>
    </row>
    <row r="6" spans="1:16" x14ac:dyDescent="0.2">
      <c r="A6" s="65"/>
      <c r="B6" s="65"/>
      <c r="C6" s="66" t="s">
        <v>6</v>
      </c>
      <c r="D6" s="282" t="str">
        <f>'Kops a'!D7</f>
        <v>Daudzdzīvokļu dzīvojamās ēkas vienkāršota fasādes atjaunošana.</v>
      </c>
      <c r="E6" s="282"/>
      <c r="F6" s="282"/>
      <c r="G6" s="282"/>
      <c r="H6" s="282"/>
      <c r="I6" s="282"/>
      <c r="J6" s="282"/>
      <c r="K6" s="282"/>
      <c r="L6" s="282"/>
      <c r="M6" s="64"/>
      <c r="N6" s="64"/>
      <c r="O6" s="64"/>
      <c r="P6" s="64"/>
    </row>
    <row r="7" spans="1:16" x14ac:dyDescent="0.2">
      <c r="A7" s="65"/>
      <c r="B7" s="65"/>
      <c r="C7" s="66" t="s">
        <v>7</v>
      </c>
      <c r="D7" s="282" t="str">
        <f>'Kops a'!D8</f>
        <v>Smilšu iela 42, k-1, Tukums</v>
      </c>
      <c r="E7" s="282"/>
      <c r="F7" s="282"/>
      <c r="G7" s="282"/>
      <c r="H7" s="282"/>
      <c r="I7" s="282"/>
      <c r="J7" s="282"/>
      <c r="K7" s="282"/>
      <c r="L7" s="282"/>
      <c r="M7" s="64"/>
      <c r="N7" s="64"/>
      <c r="O7" s="64"/>
      <c r="P7" s="64"/>
    </row>
    <row r="8" spans="1:16" x14ac:dyDescent="0.2">
      <c r="A8" s="65"/>
      <c r="B8" s="65"/>
      <c r="C8" s="205" t="s">
        <v>20</v>
      </c>
      <c r="D8" s="282" t="str">
        <f>'Kops a'!D9</f>
        <v xml:space="preserve"> </v>
      </c>
      <c r="E8" s="282"/>
      <c r="F8" s="282"/>
      <c r="G8" s="282"/>
      <c r="H8" s="282"/>
      <c r="I8" s="282"/>
      <c r="J8" s="282"/>
      <c r="K8" s="282"/>
      <c r="L8" s="282"/>
      <c r="M8" s="64"/>
      <c r="N8" s="64"/>
      <c r="O8" s="64"/>
      <c r="P8" s="64"/>
    </row>
    <row r="9" spans="1:16" ht="11.25" customHeight="1" x14ac:dyDescent="0.2">
      <c r="A9" s="270" t="s">
        <v>293</v>
      </c>
      <c r="B9" s="270"/>
      <c r="C9" s="270"/>
      <c r="D9" s="270"/>
      <c r="E9" s="270"/>
      <c r="F9" s="270"/>
      <c r="G9" s="72"/>
      <c r="H9" s="72"/>
      <c r="I9" s="72"/>
      <c r="J9" s="274" t="s">
        <v>39</v>
      </c>
      <c r="K9" s="274"/>
      <c r="L9" s="274"/>
      <c r="M9" s="274"/>
      <c r="N9" s="281">
        <f>P37</f>
        <v>0</v>
      </c>
      <c r="O9" s="281"/>
      <c r="P9" s="72"/>
    </row>
    <row r="10" spans="1:16" x14ac:dyDescent="0.2">
      <c r="A10" s="73"/>
      <c r="B10" s="74"/>
      <c r="C10" s="205"/>
      <c r="D10" s="65"/>
      <c r="E10" s="207"/>
      <c r="F10" s="65"/>
      <c r="G10" s="65"/>
      <c r="H10" s="65"/>
      <c r="I10" s="65"/>
      <c r="J10" s="65"/>
      <c r="K10" s="65"/>
      <c r="L10" s="70"/>
      <c r="M10" s="70"/>
      <c r="O10" s="75"/>
      <c r="P10" s="76" t="str">
        <f>A43</f>
        <v>Tāme sastādīta 2021. gada 13. maijā</v>
      </c>
    </row>
    <row r="11" spans="1:16" ht="12" thickBot="1" x14ac:dyDescent="0.25">
      <c r="A11" s="73"/>
      <c r="B11" s="74"/>
      <c r="C11" s="205"/>
      <c r="D11" s="65"/>
      <c r="E11" s="207"/>
      <c r="F11" s="65"/>
      <c r="G11" s="65"/>
      <c r="H11" s="65"/>
      <c r="I11" s="65"/>
      <c r="J11" s="65"/>
      <c r="K11" s="65"/>
      <c r="L11" s="77"/>
      <c r="M11" s="77"/>
      <c r="N11" s="78"/>
      <c r="O11" s="68"/>
      <c r="P11" s="65"/>
    </row>
    <row r="12" spans="1:16" x14ac:dyDescent="0.2">
      <c r="A12" s="244" t="s">
        <v>23</v>
      </c>
      <c r="B12" s="276" t="s">
        <v>40</v>
      </c>
      <c r="C12" s="272" t="s">
        <v>41</v>
      </c>
      <c r="D12" s="279" t="s">
        <v>42</v>
      </c>
      <c r="E12" s="283" t="s">
        <v>43</v>
      </c>
      <c r="F12" s="271" t="s">
        <v>44</v>
      </c>
      <c r="G12" s="272"/>
      <c r="H12" s="272"/>
      <c r="I12" s="272"/>
      <c r="J12" s="272"/>
      <c r="K12" s="273"/>
      <c r="L12" s="271" t="s">
        <v>45</v>
      </c>
      <c r="M12" s="272"/>
      <c r="N12" s="272"/>
      <c r="O12" s="272"/>
      <c r="P12" s="273"/>
    </row>
    <row r="13" spans="1:16" ht="126.75" customHeight="1" thickBot="1" x14ac:dyDescent="0.25">
      <c r="A13" s="275"/>
      <c r="B13" s="277"/>
      <c r="C13" s="278"/>
      <c r="D13" s="280"/>
      <c r="E13" s="284"/>
      <c r="F13" s="208" t="s">
        <v>46</v>
      </c>
      <c r="G13" s="209" t="s">
        <v>47</v>
      </c>
      <c r="H13" s="209" t="s">
        <v>48</v>
      </c>
      <c r="I13" s="209" t="s">
        <v>49</v>
      </c>
      <c r="J13" s="209" t="s">
        <v>50</v>
      </c>
      <c r="K13" s="81" t="s">
        <v>51</v>
      </c>
      <c r="L13" s="208" t="s">
        <v>46</v>
      </c>
      <c r="M13" s="209" t="s">
        <v>48</v>
      </c>
      <c r="N13" s="209" t="s">
        <v>49</v>
      </c>
      <c r="O13" s="209" t="s">
        <v>50</v>
      </c>
      <c r="P13" s="81" t="s">
        <v>51</v>
      </c>
    </row>
    <row r="14" spans="1:16" x14ac:dyDescent="0.2">
      <c r="A14" s="82">
        <f>IF(E14&gt;0,IF(E14&gt;0,1+MAX(A13),0),0)</f>
        <v>1</v>
      </c>
      <c r="B14" s="83"/>
      <c r="C14" s="84" t="s">
        <v>198</v>
      </c>
      <c r="D14" s="85" t="s">
        <v>67</v>
      </c>
      <c r="E14" s="114">
        <v>3</v>
      </c>
      <c r="F14" s="86"/>
      <c r="G14" s="87"/>
      <c r="H14" s="87"/>
      <c r="I14" s="87"/>
      <c r="J14" s="87"/>
      <c r="K14" s="88"/>
      <c r="L14" s="86"/>
      <c r="M14" s="87"/>
      <c r="N14" s="87"/>
      <c r="O14" s="87"/>
      <c r="P14" s="88"/>
    </row>
    <row r="15" spans="1:16" ht="22.5" x14ac:dyDescent="0.2">
      <c r="A15" s="82">
        <f>IF(E15&gt;0,IF(E15&gt;0,1+MAX(A14),0),0)</f>
        <v>2</v>
      </c>
      <c r="B15" s="89"/>
      <c r="C15" s="90" t="s">
        <v>199</v>
      </c>
      <c r="D15" s="85" t="s">
        <v>67</v>
      </c>
      <c r="E15" s="114">
        <v>3</v>
      </c>
      <c r="F15" s="86"/>
      <c r="G15" s="87"/>
      <c r="H15" s="87"/>
      <c r="I15" s="87"/>
      <c r="J15" s="87"/>
      <c r="K15" s="91"/>
      <c r="L15" s="92"/>
      <c r="M15" s="93"/>
      <c r="N15" s="93"/>
      <c r="O15" s="93"/>
      <c r="P15" s="91"/>
    </row>
    <row r="16" spans="1:16" x14ac:dyDescent="0.2">
      <c r="A16" s="82">
        <f>IF(E16&gt;0,IF(E16&gt;0,1+MAX($A$14:A15),0),0)</f>
        <v>3</v>
      </c>
      <c r="B16" s="89"/>
      <c r="C16" s="84" t="s">
        <v>200</v>
      </c>
      <c r="D16" s="85" t="s">
        <v>67</v>
      </c>
      <c r="E16" s="114">
        <v>3</v>
      </c>
      <c r="F16" s="86"/>
      <c r="G16" s="87"/>
      <c r="H16" s="87"/>
      <c r="I16" s="87"/>
      <c r="J16" s="87"/>
      <c r="K16" s="91"/>
      <c r="L16" s="92"/>
      <c r="M16" s="93"/>
      <c r="N16" s="93"/>
      <c r="O16" s="93"/>
      <c r="P16" s="91"/>
    </row>
    <row r="17" spans="1:16" ht="33.75" x14ac:dyDescent="0.2">
      <c r="A17" s="82">
        <f>IF(E17&gt;0,IF(E17&gt;0,1+MAX($A$14:A16),0),0)</f>
        <v>4</v>
      </c>
      <c r="B17" s="89"/>
      <c r="C17" s="90" t="s">
        <v>266</v>
      </c>
      <c r="D17" s="85" t="s">
        <v>67</v>
      </c>
      <c r="E17" s="114">
        <v>3</v>
      </c>
      <c r="F17" s="86"/>
      <c r="G17" s="87"/>
      <c r="H17" s="87"/>
      <c r="I17" s="87"/>
      <c r="J17" s="87"/>
      <c r="K17" s="91"/>
      <c r="L17" s="92"/>
      <c r="M17" s="93"/>
      <c r="N17" s="93"/>
      <c r="O17" s="93"/>
      <c r="P17" s="91"/>
    </row>
    <row r="18" spans="1:16" x14ac:dyDescent="0.2">
      <c r="A18" s="82">
        <f>IF(E18&gt;0,IF(E18&gt;0,1+MAX($A$14:A17),0),0)</f>
        <v>5</v>
      </c>
      <c r="B18" s="89"/>
      <c r="C18" s="84" t="s">
        <v>201</v>
      </c>
      <c r="D18" s="85" t="s">
        <v>67</v>
      </c>
      <c r="E18" s="114">
        <v>3</v>
      </c>
      <c r="F18" s="86"/>
      <c r="G18" s="87"/>
      <c r="H18" s="87"/>
      <c r="I18" s="87"/>
      <c r="J18" s="87"/>
      <c r="K18" s="91"/>
      <c r="L18" s="92"/>
      <c r="M18" s="93"/>
      <c r="N18" s="93"/>
      <c r="O18" s="93"/>
      <c r="P18" s="91"/>
    </row>
    <row r="19" spans="1:16" ht="45" x14ac:dyDescent="0.2">
      <c r="A19" s="82">
        <f>IF(E19&gt;0,IF(E19&gt;0,1+MAX($A$14:A18),0),0)</f>
        <v>6</v>
      </c>
      <c r="B19" s="89"/>
      <c r="C19" s="90" t="s">
        <v>267</v>
      </c>
      <c r="D19" s="85" t="s">
        <v>67</v>
      </c>
      <c r="E19" s="114">
        <v>3</v>
      </c>
      <c r="F19" s="86"/>
      <c r="G19" s="87"/>
      <c r="H19" s="87"/>
      <c r="I19" s="87"/>
      <c r="J19" s="87"/>
      <c r="K19" s="91"/>
      <c r="L19" s="92"/>
      <c r="M19" s="93"/>
      <c r="N19" s="93"/>
      <c r="O19" s="93"/>
      <c r="P19" s="91"/>
    </row>
    <row r="20" spans="1:16" x14ac:dyDescent="0.2">
      <c r="A20" s="82">
        <f>IF(E20&gt;0,IF(E20&gt;0,1+MAX($A$14:A19),0),0)</f>
        <v>7</v>
      </c>
      <c r="B20" s="89"/>
      <c r="C20" s="84" t="s">
        <v>202</v>
      </c>
      <c r="D20" s="85" t="s">
        <v>67</v>
      </c>
      <c r="E20" s="114">
        <v>3</v>
      </c>
      <c r="F20" s="86"/>
      <c r="G20" s="87"/>
      <c r="H20" s="87"/>
      <c r="I20" s="87"/>
      <c r="J20" s="87"/>
      <c r="K20" s="91"/>
      <c r="L20" s="92"/>
      <c r="M20" s="93"/>
      <c r="N20" s="93"/>
      <c r="O20" s="93"/>
      <c r="P20" s="91"/>
    </row>
    <row r="21" spans="1:16" ht="33.75" x14ac:dyDescent="0.2">
      <c r="A21" s="82">
        <f>IF(E21&gt;0,IF(E21&gt;0,1+MAX($A$14:A20),0),0)</f>
        <v>8</v>
      </c>
      <c r="B21" s="89"/>
      <c r="C21" s="90" t="s">
        <v>268</v>
      </c>
      <c r="D21" s="85" t="s">
        <v>67</v>
      </c>
      <c r="E21" s="114">
        <v>3</v>
      </c>
      <c r="F21" s="86"/>
      <c r="G21" s="87"/>
      <c r="H21" s="87"/>
      <c r="I21" s="87"/>
      <c r="J21" s="87"/>
      <c r="K21" s="91"/>
      <c r="L21" s="92"/>
      <c r="M21" s="93"/>
      <c r="N21" s="93"/>
      <c r="O21" s="93"/>
      <c r="P21" s="91"/>
    </row>
    <row r="22" spans="1:16" x14ac:dyDescent="0.2">
      <c r="A22" s="82">
        <f>IF(E22&gt;0,IF(E22&gt;0,1+MAX($A$14:A21),0),0)</f>
        <v>9</v>
      </c>
      <c r="B22" s="89"/>
      <c r="C22" s="84" t="s">
        <v>203</v>
      </c>
      <c r="D22" s="85" t="s">
        <v>67</v>
      </c>
      <c r="E22" s="114">
        <v>3</v>
      </c>
      <c r="F22" s="86"/>
      <c r="G22" s="87"/>
      <c r="H22" s="87"/>
      <c r="I22" s="87"/>
      <c r="J22" s="87"/>
      <c r="K22" s="91"/>
      <c r="L22" s="92"/>
      <c r="M22" s="93"/>
      <c r="N22" s="93"/>
      <c r="O22" s="93"/>
      <c r="P22" s="91"/>
    </row>
    <row r="23" spans="1:16" ht="67.5" x14ac:dyDescent="0.2">
      <c r="A23" s="82">
        <f>IF(E23&gt;0,IF(E23&gt;0,1+MAX($A$14:A22),0),0)</f>
        <v>10</v>
      </c>
      <c r="B23" s="89"/>
      <c r="C23" s="90" t="s">
        <v>204</v>
      </c>
      <c r="D23" s="85" t="s">
        <v>67</v>
      </c>
      <c r="E23" s="114">
        <v>3</v>
      </c>
      <c r="F23" s="86"/>
      <c r="G23" s="87"/>
      <c r="H23" s="87"/>
      <c r="I23" s="87"/>
      <c r="J23" s="87"/>
      <c r="K23" s="91"/>
      <c r="L23" s="92"/>
      <c r="M23" s="93"/>
      <c r="N23" s="93"/>
      <c r="O23" s="93"/>
      <c r="P23" s="91"/>
    </row>
    <row r="24" spans="1:16" x14ac:dyDescent="0.2">
      <c r="A24" s="82">
        <f>IF(E24&gt;0,IF(E24&gt;0,1+MAX($A$14:A23),0),0)</f>
        <v>11</v>
      </c>
      <c r="B24" s="89"/>
      <c r="C24" s="84" t="s">
        <v>205</v>
      </c>
      <c r="D24" s="85" t="s">
        <v>67</v>
      </c>
      <c r="E24" s="114">
        <v>3</v>
      </c>
      <c r="F24" s="86"/>
      <c r="G24" s="87"/>
      <c r="H24" s="87"/>
      <c r="I24" s="87"/>
      <c r="J24" s="87"/>
      <c r="K24" s="91"/>
      <c r="L24" s="92"/>
      <c r="M24" s="93"/>
      <c r="N24" s="93"/>
      <c r="O24" s="93"/>
      <c r="P24" s="91"/>
    </row>
    <row r="25" spans="1:16" ht="56.25" x14ac:dyDescent="0.2">
      <c r="A25" s="82">
        <f>IF(E25&gt;0,IF(E25&gt;0,1+MAX($A$14:A24),0),0)</f>
        <v>12</v>
      </c>
      <c r="B25" s="89"/>
      <c r="C25" s="90" t="s">
        <v>206</v>
      </c>
      <c r="D25" s="85" t="s">
        <v>67</v>
      </c>
      <c r="E25" s="114">
        <v>3</v>
      </c>
      <c r="F25" s="86"/>
      <c r="G25" s="87"/>
      <c r="H25" s="87"/>
      <c r="I25" s="87"/>
      <c r="J25" s="87"/>
      <c r="K25" s="91"/>
      <c r="L25" s="92"/>
      <c r="M25" s="93"/>
      <c r="N25" s="93"/>
      <c r="O25" s="93"/>
      <c r="P25" s="91"/>
    </row>
    <row r="26" spans="1:16" x14ac:dyDescent="0.2">
      <c r="A26" s="82">
        <f>IF(E26&gt;0,IF(E26&gt;0,1+MAX($A$14:A25),0),0)</f>
        <v>13</v>
      </c>
      <c r="B26" s="89"/>
      <c r="C26" s="84" t="s">
        <v>207</v>
      </c>
      <c r="D26" s="85" t="s">
        <v>67</v>
      </c>
      <c r="E26" s="114">
        <v>3</v>
      </c>
      <c r="F26" s="86"/>
      <c r="G26" s="87"/>
      <c r="H26" s="87"/>
      <c r="I26" s="87"/>
      <c r="J26" s="87"/>
      <c r="K26" s="91"/>
      <c r="L26" s="92"/>
      <c r="M26" s="93"/>
      <c r="N26" s="93"/>
      <c r="O26" s="93"/>
      <c r="P26" s="91"/>
    </row>
    <row r="27" spans="1:16" ht="45" x14ac:dyDescent="0.2">
      <c r="A27" s="82">
        <f>IF(E27&gt;0,IF(E27&gt;0,1+MAX($A$14:A26),0),0)</f>
        <v>14</v>
      </c>
      <c r="B27" s="89"/>
      <c r="C27" s="90" t="s">
        <v>208</v>
      </c>
      <c r="D27" s="85" t="s">
        <v>67</v>
      </c>
      <c r="E27" s="114">
        <v>3</v>
      </c>
      <c r="F27" s="86"/>
      <c r="G27" s="87"/>
      <c r="H27" s="87"/>
      <c r="I27" s="87"/>
      <c r="J27" s="87"/>
      <c r="K27" s="91"/>
      <c r="L27" s="92"/>
      <c r="M27" s="93"/>
      <c r="N27" s="93"/>
      <c r="O27" s="93"/>
      <c r="P27" s="91"/>
    </row>
    <row r="28" spans="1:16" x14ac:dyDescent="0.2">
      <c r="A28" s="82">
        <f>IF(E28&gt;0,IF(E28&gt;0,1+MAX($A$14:A27),0),0)</f>
        <v>15</v>
      </c>
      <c r="B28" s="89"/>
      <c r="C28" s="84" t="s">
        <v>209</v>
      </c>
      <c r="D28" s="85" t="s">
        <v>67</v>
      </c>
      <c r="E28" s="114">
        <v>3</v>
      </c>
      <c r="F28" s="86"/>
      <c r="G28" s="87"/>
      <c r="H28" s="87"/>
      <c r="I28" s="87"/>
      <c r="J28" s="87"/>
      <c r="K28" s="91"/>
      <c r="L28" s="92"/>
      <c r="M28" s="93"/>
      <c r="N28" s="93"/>
      <c r="O28" s="93"/>
      <c r="P28" s="91"/>
    </row>
    <row r="29" spans="1:16" ht="45" x14ac:dyDescent="0.2">
      <c r="A29" s="82">
        <f>IF(E29&gt;0,IF(E29&gt;0,1+MAX($A$14:A28),0),0)</f>
        <v>16</v>
      </c>
      <c r="B29" s="89"/>
      <c r="C29" s="90" t="s">
        <v>210</v>
      </c>
      <c r="D29" s="85" t="s">
        <v>67</v>
      </c>
      <c r="E29" s="114">
        <v>3</v>
      </c>
      <c r="F29" s="86"/>
      <c r="G29" s="87"/>
      <c r="H29" s="87"/>
      <c r="I29" s="87"/>
      <c r="J29" s="87"/>
      <c r="K29" s="91"/>
      <c r="L29" s="92"/>
      <c r="M29" s="93"/>
      <c r="N29" s="93"/>
      <c r="O29" s="93"/>
      <c r="P29" s="91"/>
    </row>
    <row r="30" spans="1:16" x14ac:dyDescent="0.2">
      <c r="A30" s="82">
        <f>IF(E30&gt;0,IF(E30&gt;0,1+MAX($A$14:A29),0),0)</f>
        <v>17</v>
      </c>
      <c r="B30" s="89"/>
      <c r="C30" s="84" t="s">
        <v>271</v>
      </c>
      <c r="D30" s="85" t="s">
        <v>65</v>
      </c>
      <c r="E30" s="114">
        <f>2*(1.1+1.2)*E15+2*(0.62+1)*E17+2*(2.12+1.25)*E19+2*(2.12+1.25)*E21+2*(2.12+1.02)*E23+2*(2.98+2.71)*E25+2*(2.98+2.71)*E27+2*(2+0.93)*E29</f>
        <v>168.66</v>
      </c>
      <c r="F30" s="86"/>
      <c r="G30" s="87"/>
      <c r="H30" s="87"/>
      <c r="I30" s="87"/>
      <c r="J30" s="87"/>
      <c r="K30" s="91"/>
      <c r="L30" s="92"/>
      <c r="M30" s="93"/>
      <c r="N30" s="93"/>
      <c r="O30" s="93"/>
      <c r="P30" s="91"/>
    </row>
    <row r="31" spans="1:16" x14ac:dyDescent="0.2">
      <c r="A31" s="82">
        <f>IF(E31&gt;0,IF(E31&gt;0,1+MAX($A$14:A30),0),0)</f>
        <v>18</v>
      </c>
      <c r="B31" s="89"/>
      <c r="C31" s="94" t="s">
        <v>211</v>
      </c>
      <c r="D31" s="85" t="s">
        <v>65</v>
      </c>
      <c r="E31" s="114">
        <f>1.2*E15+1*E17</f>
        <v>6.6</v>
      </c>
      <c r="F31" s="86"/>
      <c r="G31" s="87"/>
      <c r="H31" s="87"/>
      <c r="I31" s="87"/>
      <c r="J31" s="87"/>
      <c r="K31" s="91"/>
      <c r="L31" s="92"/>
      <c r="M31" s="93"/>
      <c r="N31" s="93"/>
      <c r="O31" s="93"/>
      <c r="P31" s="91"/>
    </row>
    <row r="32" spans="1:16" x14ac:dyDescent="0.2">
      <c r="A32" s="82">
        <f>IF(E32&gt;0,IF(E32&gt;0,1+MAX($A$14:A31),0),0)</f>
        <v>19</v>
      </c>
      <c r="B32" s="89"/>
      <c r="C32" s="84" t="s">
        <v>212</v>
      </c>
      <c r="D32" s="85" t="s">
        <v>65</v>
      </c>
      <c r="E32" s="114">
        <f>E30</f>
        <v>168.66</v>
      </c>
      <c r="F32" s="86"/>
      <c r="G32" s="87"/>
      <c r="H32" s="87"/>
      <c r="I32" s="87"/>
      <c r="J32" s="87"/>
      <c r="K32" s="91"/>
      <c r="L32" s="92"/>
      <c r="M32" s="93"/>
      <c r="N32" s="93"/>
      <c r="O32" s="93"/>
      <c r="P32" s="91"/>
    </row>
    <row r="33" spans="1:16" x14ac:dyDescent="0.2">
      <c r="A33" s="82">
        <f>IF(E33&gt;0,IF(E33&gt;0,1+MAX($A$14:A32),0),0)</f>
        <v>20</v>
      </c>
      <c r="B33" s="89"/>
      <c r="C33" s="84" t="s">
        <v>213</v>
      </c>
      <c r="D33" s="85" t="s">
        <v>67</v>
      </c>
      <c r="E33" s="114">
        <v>6</v>
      </c>
      <c r="F33" s="86"/>
      <c r="G33" s="87"/>
      <c r="H33" s="87"/>
      <c r="I33" s="87"/>
      <c r="J33" s="87"/>
      <c r="K33" s="91"/>
      <c r="L33" s="92"/>
      <c r="M33" s="93"/>
      <c r="N33" s="93"/>
      <c r="O33" s="93"/>
      <c r="P33" s="91"/>
    </row>
    <row r="34" spans="1:16" x14ac:dyDescent="0.2">
      <c r="A34" s="82">
        <f>IF(E34&gt;0,IF(E34&gt;0,1+MAX($A$14:A33),0),0)</f>
        <v>21</v>
      </c>
      <c r="B34" s="89"/>
      <c r="C34" s="90" t="s">
        <v>270</v>
      </c>
      <c r="D34" s="85" t="s">
        <v>67</v>
      </c>
      <c r="E34" s="114">
        <v>6</v>
      </c>
      <c r="F34" s="86"/>
      <c r="G34" s="87"/>
      <c r="H34" s="87"/>
      <c r="I34" s="87"/>
      <c r="J34" s="87"/>
      <c r="K34" s="91"/>
      <c r="L34" s="92"/>
      <c r="M34" s="93"/>
      <c r="N34" s="93"/>
      <c r="O34" s="93"/>
      <c r="P34" s="91"/>
    </row>
    <row r="35" spans="1:16" x14ac:dyDescent="0.2">
      <c r="A35" s="82">
        <f t="shared" ref="A35:A36" si="0">IF(E35&gt;0,IF(E35&gt;0,1+MAX(A34),0),0)</f>
        <v>22</v>
      </c>
      <c r="B35" s="89"/>
      <c r="C35" s="94" t="s">
        <v>269</v>
      </c>
      <c r="D35" s="85" t="s">
        <v>67</v>
      </c>
      <c r="E35" s="114">
        <v>42</v>
      </c>
      <c r="F35" s="86"/>
      <c r="G35" s="87"/>
      <c r="H35" s="87"/>
      <c r="I35" s="87"/>
      <c r="J35" s="87"/>
      <c r="K35" s="91"/>
      <c r="L35" s="92"/>
      <c r="M35" s="93"/>
      <c r="N35" s="93"/>
      <c r="O35" s="93"/>
      <c r="P35" s="91"/>
    </row>
    <row r="36" spans="1:16" ht="12" thickBot="1" x14ac:dyDescent="0.25">
      <c r="A36" s="82">
        <f t="shared" si="0"/>
        <v>23</v>
      </c>
      <c r="B36" s="89"/>
      <c r="C36" s="90" t="s">
        <v>386</v>
      </c>
      <c r="D36" s="85" t="s">
        <v>67</v>
      </c>
      <c r="E36" s="114">
        <v>42</v>
      </c>
      <c r="F36" s="86"/>
      <c r="G36" s="87"/>
      <c r="H36" s="87"/>
      <c r="I36" s="87"/>
      <c r="J36" s="87"/>
      <c r="K36" s="91"/>
      <c r="L36" s="92"/>
      <c r="M36" s="93"/>
      <c r="N36" s="93"/>
      <c r="O36" s="93"/>
      <c r="P36" s="91"/>
    </row>
    <row r="37" spans="1:16" ht="12" customHeight="1" thickBot="1" x14ac:dyDescent="0.25">
      <c r="A37" s="286" t="s">
        <v>278</v>
      </c>
      <c r="B37" s="287"/>
      <c r="C37" s="287"/>
      <c r="D37" s="287"/>
      <c r="E37" s="287"/>
      <c r="F37" s="287"/>
      <c r="G37" s="287"/>
      <c r="H37" s="287"/>
      <c r="I37" s="287"/>
      <c r="J37" s="287"/>
      <c r="K37" s="288"/>
      <c r="L37" s="95">
        <f>SUM(L14:L36)</f>
        <v>0</v>
      </c>
      <c r="M37" s="96">
        <f>SUM(M14:M36)</f>
        <v>0</v>
      </c>
      <c r="N37" s="96">
        <f>SUM(N14:N36)</f>
        <v>0</v>
      </c>
      <c r="O37" s="96">
        <f>SUM(O14:O36)</f>
        <v>0</v>
      </c>
      <c r="P37" s="97">
        <f>SUM(P14:P36)</f>
        <v>0</v>
      </c>
    </row>
    <row r="38" spans="1:16" x14ac:dyDescent="0.2">
      <c r="A38" s="64"/>
      <c r="B38" s="64"/>
      <c r="C38" s="64"/>
      <c r="D38" s="64"/>
      <c r="E38" s="160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</row>
    <row r="39" spans="1:16" x14ac:dyDescent="0.2">
      <c r="A39" s="64"/>
      <c r="B39" s="64"/>
      <c r="C39" s="64"/>
      <c r="D39" s="64"/>
      <c r="E39" s="160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</row>
    <row r="40" spans="1:16" x14ac:dyDescent="0.2">
      <c r="A40" s="39" t="s">
        <v>14</v>
      </c>
      <c r="B40" s="64"/>
      <c r="C40" s="285" t="str">
        <f>'Kops a'!C33:H33</f>
        <v>Armands Ūbelis</v>
      </c>
      <c r="D40" s="285"/>
      <c r="E40" s="285"/>
      <c r="F40" s="285"/>
      <c r="G40" s="285"/>
      <c r="H40" s="285"/>
      <c r="I40" s="64"/>
      <c r="J40" s="64"/>
      <c r="K40" s="64"/>
      <c r="L40" s="64"/>
      <c r="M40" s="64"/>
      <c r="N40" s="64"/>
      <c r="O40" s="64"/>
      <c r="P40" s="64"/>
    </row>
    <row r="41" spans="1:16" x14ac:dyDescent="0.2">
      <c r="A41" s="64"/>
      <c r="B41" s="64"/>
      <c r="C41" s="222" t="s">
        <v>15</v>
      </c>
      <c r="D41" s="222"/>
      <c r="E41" s="222"/>
      <c r="F41" s="222"/>
      <c r="G41" s="222"/>
      <c r="H41" s="222"/>
      <c r="I41" s="64"/>
      <c r="J41" s="64"/>
      <c r="K41" s="64"/>
      <c r="L41" s="64"/>
      <c r="M41" s="64"/>
      <c r="N41" s="64"/>
      <c r="O41" s="64"/>
      <c r="P41" s="64"/>
    </row>
    <row r="42" spans="1:16" x14ac:dyDescent="0.2">
      <c r="A42" s="64"/>
      <c r="B42" s="64"/>
      <c r="C42" s="64"/>
      <c r="D42" s="64"/>
      <c r="E42" s="160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</row>
    <row r="43" spans="1:16" x14ac:dyDescent="0.2">
      <c r="A43" s="98" t="str">
        <f>'Kops a'!A36</f>
        <v>Tāme sastādīta 2021. gada 13. maijā</v>
      </c>
      <c r="B43" s="99"/>
      <c r="C43" s="99"/>
      <c r="D43" s="99"/>
      <c r="E43" s="160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</row>
    <row r="44" spans="1:16" x14ac:dyDescent="0.2">
      <c r="A44" s="64"/>
      <c r="B44" s="64"/>
      <c r="C44" s="64"/>
      <c r="D44" s="64"/>
      <c r="E44" s="160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</row>
    <row r="45" spans="1:16" x14ac:dyDescent="0.2">
      <c r="A45" s="39" t="s">
        <v>37</v>
      </c>
      <c r="B45" s="64"/>
      <c r="C45" s="285" t="str">
        <f>'Kops a'!C38:H38</f>
        <v xml:space="preserve"> </v>
      </c>
      <c r="D45" s="285"/>
      <c r="E45" s="285"/>
      <c r="F45" s="285"/>
      <c r="G45" s="285"/>
      <c r="H45" s="285"/>
      <c r="I45" s="64"/>
      <c r="J45" s="64"/>
      <c r="K45" s="64"/>
      <c r="L45" s="64"/>
      <c r="M45" s="64"/>
      <c r="N45" s="64"/>
      <c r="O45" s="64"/>
      <c r="P45" s="64"/>
    </row>
    <row r="46" spans="1:16" x14ac:dyDescent="0.2">
      <c r="A46" s="64"/>
      <c r="B46" s="64"/>
      <c r="C46" s="222" t="s">
        <v>15</v>
      </c>
      <c r="D46" s="222"/>
      <c r="E46" s="222"/>
      <c r="F46" s="222"/>
      <c r="G46" s="222"/>
      <c r="H46" s="222"/>
      <c r="I46" s="64"/>
      <c r="J46" s="64"/>
      <c r="K46" s="64"/>
      <c r="L46" s="64"/>
      <c r="M46" s="64"/>
      <c r="N46" s="64"/>
      <c r="O46" s="64"/>
      <c r="P46" s="64"/>
    </row>
    <row r="47" spans="1:16" x14ac:dyDescent="0.2">
      <c r="A47" s="64"/>
      <c r="B47" s="64"/>
      <c r="C47" s="64"/>
      <c r="D47" s="64"/>
      <c r="E47" s="160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</row>
    <row r="48" spans="1:16" x14ac:dyDescent="0.2">
      <c r="A48" s="98" t="s">
        <v>54</v>
      </c>
      <c r="B48" s="99"/>
      <c r="C48" s="100" t="str">
        <f>'Kops a'!C41</f>
        <v>4-02608</v>
      </c>
      <c r="D48" s="101"/>
      <c r="E48" s="160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1:16" x14ac:dyDescent="0.2">
      <c r="A49" s="64"/>
      <c r="B49" s="64"/>
      <c r="C49" s="64"/>
      <c r="D49" s="64"/>
      <c r="E49" s="160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</row>
  </sheetData>
  <mergeCells count="22">
    <mergeCell ref="C46:H46"/>
    <mergeCell ref="C4:I4"/>
    <mergeCell ref="F12:K12"/>
    <mergeCell ref="A9:F9"/>
    <mergeCell ref="J9:M9"/>
    <mergeCell ref="D8:L8"/>
    <mergeCell ref="A37:K37"/>
    <mergeCell ref="C40:H40"/>
    <mergeCell ref="C41:H41"/>
    <mergeCell ref="C45:H45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B15:G34 A14:A34 I15:J34">
    <cfRule type="cellIs" dxfId="39" priority="39" operator="equal">
      <formula>0</formula>
    </cfRule>
  </conditionalFormatting>
  <conditionalFormatting sqref="N9:O9 K14:P34 H15:H34">
    <cfRule type="cellIs" dxfId="38" priority="38" operator="equal">
      <formula>0</formula>
    </cfRule>
  </conditionalFormatting>
  <conditionalFormatting sqref="C2:I2">
    <cfRule type="cellIs" dxfId="37" priority="35" operator="equal">
      <formula>0</formula>
    </cfRule>
  </conditionalFormatting>
  <conditionalFormatting sqref="O10">
    <cfRule type="cellIs" dxfId="36" priority="34" operator="equal">
      <formula>"20__. gada __. _________"</formula>
    </cfRule>
  </conditionalFormatting>
  <conditionalFormatting sqref="L37:P37">
    <cfRule type="cellIs" dxfId="35" priority="28" operator="equal">
      <formula>0</formula>
    </cfRule>
  </conditionalFormatting>
  <conditionalFormatting sqref="C4:I4">
    <cfRule type="cellIs" dxfId="34" priority="27" operator="equal">
      <formula>0</formula>
    </cfRule>
  </conditionalFormatting>
  <conditionalFormatting sqref="D5:L8">
    <cfRule type="cellIs" dxfId="33" priority="23" operator="equal">
      <formula>0</formula>
    </cfRule>
  </conditionalFormatting>
  <conditionalFormatting sqref="B14 D14:E14">
    <cfRule type="cellIs" dxfId="32" priority="22" operator="equal">
      <formula>0</formula>
    </cfRule>
  </conditionalFormatting>
  <conditionalFormatting sqref="C14">
    <cfRule type="cellIs" dxfId="31" priority="21" operator="equal">
      <formula>0</formula>
    </cfRule>
  </conditionalFormatting>
  <conditionalFormatting sqref="P10">
    <cfRule type="cellIs" dxfId="30" priority="19" operator="equal">
      <formula>"20__. gada __. _________"</formula>
    </cfRule>
  </conditionalFormatting>
  <conditionalFormatting sqref="C45:H45">
    <cfRule type="cellIs" dxfId="29" priority="16" operator="equal">
      <formula>0</formula>
    </cfRule>
  </conditionalFormatting>
  <conditionalFormatting sqref="C40:H40">
    <cfRule type="cellIs" dxfId="28" priority="15" operator="equal">
      <formula>0</formula>
    </cfRule>
  </conditionalFormatting>
  <conditionalFormatting sqref="C45:H45 C48 C40:H40">
    <cfRule type="cellIs" dxfId="27" priority="14" operator="equal">
      <formula>0</formula>
    </cfRule>
  </conditionalFormatting>
  <conditionalFormatting sqref="D1">
    <cfRule type="cellIs" dxfId="26" priority="13" operator="equal">
      <formula>0</formula>
    </cfRule>
  </conditionalFormatting>
  <conditionalFormatting sqref="A9:F9">
    <cfRule type="containsText" dxfId="25" priority="1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37:K37">
    <cfRule type="containsText" dxfId="24" priority="11" operator="containsText" text="Tiešās izmaksas kopā, t. sk. darba devēja sociālais nodoklis __.__% ">
      <formula>NOT(ISERROR(SEARCH("Tiešās izmaksas kopā, t. sk. darba devēja sociālais nodoklis __.__% ",A37)))</formula>
    </cfRule>
  </conditionalFormatting>
  <conditionalFormatting sqref="F14:G14 I14:J14">
    <cfRule type="cellIs" dxfId="23" priority="8" operator="equal">
      <formula>0</formula>
    </cfRule>
  </conditionalFormatting>
  <conditionalFormatting sqref="H14">
    <cfRule type="cellIs" dxfId="22" priority="7" operator="equal">
      <formula>0</formula>
    </cfRule>
  </conditionalFormatting>
  <conditionalFormatting sqref="A35:G35 I35:J35">
    <cfRule type="cellIs" dxfId="21" priority="4" operator="equal">
      <formula>0</formula>
    </cfRule>
  </conditionalFormatting>
  <conditionalFormatting sqref="K35:P35 H35">
    <cfRule type="cellIs" dxfId="20" priority="3" operator="equal">
      <formula>0</formula>
    </cfRule>
  </conditionalFormatting>
  <conditionalFormatting sqref="A36:G36 I36:J36">
    <cfRule type="cellIs" dxfId="19" priority="2" operator="equal">
      <formula>0</formula>
    </cfRule>
  </conditionalFormatting>
  <conditionalFormatting sqref="K36:P36 H36">
    <cfRule type="cellIs" dxfId="18" priority="1" operator="equal">
      <formula>0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" operator="containsText" id="{EE428164-089A-404E-98DC-227888EB2467}">
            <xm:f>NOT(ISERROR(SEARCH("Tāme sastādīta ____. gada ___. ______________",A43)))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A43</xm:sqref>
        </x14:conditionalFormatting>
        <x14:conditionalFormatting xmlns:xm="http://schemas.microsoft.com/office/excel/2006/main">
          <x14:cfRule type="containsText" priority="17" operator="containsText" id="{879A8C95-2477-46CB-81ED-05AD5C15D29F}">
            <xm:f>NOT(ISERROR(SEARCH("Sertifikāta Nr. _________________________________",A48)))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T76"/>
  <sheetViews>
    <sheetView topLeftCell="A5" zoomScaleNormal="100" workbookViewId="0">
      <selection activeCell="F14" sqref="F14:P6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93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20" x14ac:dyDescent="0.2">
      <c r="A1" s="4"/>
      <c r="B1" s="4"/>
      <c r="C1" s="7" t="s">
        <v>38</v>
      </c>
      <c r="D1" s="24">
        <f>'Kops a'!A23</f>
        <v>0</v>
      </c>
      <c r="E1" s="190"/>
      <c r="F1" s="4"/>
      <c r="G1" s="4"/>
      <c r="H1" s="4"/>
      <c r="I1" s="4"/>
      <c r="J1" s="4"/>
      <c r="N1" s="6"/>
      <c r="O1" s="7"/>
      <c r="P1" s="8"/>
    </row>
    <row r="2" spans="1:20" x14ac:dyDescent="0.2">
      <c r="A2" s="9"/>
      <c r="B2" s="9"/>
      <c r="C2" s="289" t="s">
        <v>216</v>
      </c>
      <c r="D2" s="289"/>
      <c r="E2" s="289"/>
      <c r="F2" s="289"/>
      <c r="G2" s="289"/>
      <c r="H2" s="289"/>
      <c r="I2" s="289"/>
      <c r="J2" s="9"/>
    </row>
    <row r="3" spans="1:20" x14ac:dyDescent="0.2">
      <c r="A3" s="10"/>
      <c r="B3" s="10"/>
      <c r="C3" s="290" t="s">
        <v>17</v>
      </c>
      <c r="D3" s="290"/>
      <c r="E3" s="290"/>
      <c r="F3" s="290"/>
      <c r="G3" s="290"/>
      <c r="H3" s="290"/>
      <c r="I3" s="290"/>
      <c r="J3" s="10"/>
    </row>
    <row r="4" spans="1:20" x14ac:dyDescent="0.2">
      <c r="A4" s="10"/>
      <c r="B4" s="10"/>
      <c r="C4" s="306" t="s">
        <v>52</v>
      </c>
      <c r="D4" s="306"/>
      <c r="E4" s="306"/>
      <c r="F4" s="306"/>
      <c r="G4" s="306"/>
      <c r="H4" s="306"/>
      <c r="I4" s="306"/>
      <c r="J4" s="10"/>
    </row>
    <row r="5" spans="1:20" x14ac:dyDescent="0.2">
      <c r="A5" s="4"/>
      <c r="B5" s="4"/>
      <c r="C5" s="7" t="s">
        <v>5</v>
      </c>
      <c r="D5" s="291" t="str">
        <f>'Kops a'!D6</f>
        <v>Daudzdzīvokļu dzīvojamās ēkas vienkāršota fasādes atjaunošana.</v>
      </c>
      <c r="E5" s="291"/>
      <c r="F5" s="291"/>
      <c r="G5" s="291"/>
      <c r="H5" s="291"/>
      <c r="I5" s="291"/>
      <c r="J5" s="291"/>
      <c r="K5" s="291"/>
      <c r="L5" s="291"/>
      <c r="M5" s="3"/>
      <c r="N5" s="3"/>
      <c r="O5" s="3"/>
      <c r="P5" s="3"/>
    </row>
    <row r="6" spans="1:20" x14ac:dyDescent="0.2">
      <c r="A6" s="4"/>
      <c r="B6" s="4"/>
      <c r="C6" s="7" t="s">
        <v>6</v>
      </c>
      <c r="D6" s="291" t="str">
        <f>'Kops a'!D7</f>
        <v>Daudzdzīvokļu dzīvojamās ēkas vienkāršota fasādes atjaunošana.</v>
      </c>
      <c r="E6" s="291"/>
      <c r="F6" s="291"/>
      <c r="G6" s="291"/>
      <c r="H6" s="291"/>
      <c r="I6" s="291"/>
      <c r="J6" s="291"/>
      <c r="K6" s="291"/>
      <c r="L6" s="291"/>
      <c r="M6" s="3"/>
      <c r="N6" s="3"/>
      <c r="O6" s="3"/>
      <c r="P6" s="3"/>
    </row>
    <row r="7" spans="1:20" x14ac:dyDescent="0.2">
      <c r="A7" s="4"/>
      <c r="B7" s="4"/>
      <c r="C7" s="7" t="s">
        <v>7</v>
      </c>
      <c r="D7" s="291" t="str">
        <f>'Kops a'!D8</f>
        <v>Smilšu iela 42, k-1, Tukums</v>
      </c>
      <c r="E7" s="291"/>
      <c r="F7" s="291"/>
      <c r="G7" s="291"/>
      <c r="H7" s="291"/>
      <c r="I7" s="291"/>
      <c r="J7" s="291"/>
      <c r="K7" s="291"/>
      <c r="L7" s="291"/>
      <c r="M7" s="3"/>
      <c r="N7" s="3"/>
      <c r="O7" s="3"/>
      <c r="P7" s="3"/>
    </row>
    <row r="8" spans="1:20" x14ac:dyDescent="0.2">
      <c r="A8" s="4"/>
      <c r="B8" s="4"/>
      <c r="C8" s="2" t="s">
        <v>20</v>
      </c>
      <c r="D8" s="291" t="str">
        <f>'Kops a'!D9</f>
        <v xml:space="preserve"> </v>
      </c>
      <c r="E8" s="291"/>
      <c r="F8" s="291"/>
      <c r="G8" s="291"/>
      <c r="H8" s="291"/>
      <c r="I8" s="291"/>
      <c r="J8" s="291"/>
      <c r="K8" s="291"/>
      <c r="L8" s="291"/>
      <c r="M8" s="3"/>
      <c r="N8" s="3"/>
      <c r="O8" s="3"/>
      <c r="P8" s="3"/>
    </row>
    <row r="9" spans="1:20" ht="11.25" customHeight="1" x14ac:dyDescent="0.2">
      <c r="A9" s="307" t="s">
        <v>293</v>
      </c>
      <c r="B9" s="307"/>
      <c r="C9" s="307"/>
      <c r="D9" s="307"/>
      <c r="E9" s="307"/>
      <c r="F9" s="307"/>
      <c r="G9" s="11"/>
      <c r="H9" s="11"/>
      <c r="I9" s="11"/>
      <c r="J9" s="308" t="s">
        <v>39</v>
      </c>
      <c r="K9" s="308"/>
      <c r="L9" s="308"/>
      <c r="M9" s="308"/>
      <c r="N9" s="292">
        <f>P64</f>
        <v>0</v>
      </c>
      <c r="O9" s="292"/>
      <c r="P9" s="11"/>
    </row>
    <row r="10" spans="1:20" x14ac:dyDescent="0.2">
      <c r="A10" s="12"/>
      <c r="B10" s="13"/>
      <c r="C10" s="2"/>
      <c r="D10" s="4"/>
      <c r="E10" s="190"/>
      <c r="F10" s="4"/>
      <c r="G10" s="4"/>
      <c r="H10" s="4"/>
      <c r="I10" s="4"/>
      <c r="J10" s="4"/>
      <c r="K10" s="4"/>
      <c r="L10" s="9"/>
      <c r="M10" s="9"/>
      <c r="O10" s="34"/>
      <c r="P10" s="33" t="str">
        <f>A70</f>
        <v>Tāme sastādīta 2021. gada 13. maijā</v>
      </c>
    </row>
    <row r="11" spans="1:20" ht="12" thickBot="1" x14ac:dyDescent="0.25">
      <c r="A11" s="12"/>
      <c r="B11" s="13"/>
      <c r="C11" s="2"/>
      <c r="D11" s="4"/>
      <c r="E11" s="190"/>
      <c r="F11" s="4"/>
      <c r="G11" s="4"/>
      <c r="H11" s="4"/>
      <c r="I11" s="4"/>
      <c r="J11" s="4"/>
      <c r="K11" s="4"/>
      <c r="L11" s="14"/>
      <c r="M11" s="14"/>
      <c r="N11" s="15"/>
      <c r="O11" s="6"/>
      <c r="P11" s="4"/>
    </row>
    <row r="12" spans="1:20" x14ac:dyDescent="0.2">
      <c r="A12" s="293" t="s">
        <v>23</v>
      </c>
      <c r="B12" s="295" t="s">
        <v>40</v>
      </c>
      <c r="C12" s="297" t="s">
        <v>41</v>
      </c>
      <c r="D12" s="299" t="s">
        <v>42</v>
      </c>
      <c r="E12" s="301" t="s">
        <v>43</v>
      </c>
      <c r="F12" s="303" t="s">
        <v>44</v>
      </c>
      <c r="G12" s="297"/>
      <c r="H12" s="297"/>
      <c r="I12" s="297"/>
      <c r="J12" s="297"/>
      <c r="K12" s="304"/>
      <c r="L12" s="303" t="s">
        <v>45</v>
      </c>
      <c r="M12" s="297"/>
      <c r="N12" s="297"/>
      <c r="O12" s="297"/>
      <c r="P12" s="304"/>
    </row>
    <row r="13" spans="1:20" ht="126.75" customHeight="1" thickBot="1" x14ac:dyDescent="0.25">
      <c r="A13" s="294"/>
      <c r="B13" s="296"/>
      <c r="C13" s="298"/>
      <c r="D13" s="300"/>
      <c r="E13" s="302"/>
      <c r="F13" s="16" t="s">
        <v>46</v>
      </c>
      <c r="G13" s="17" t="s">
        <v>47</v>
      </c>
      <c r="H13" s="17" t="s">
        <v>48</v>
      </c>
      <c r="I13" s="17" t="s">
        <v>49</v>
      </c>
      <c r="J13" s="17" t="s">
        <v>50</v>
      </c>
      <c r="K13" s="25" t="s">
        <v>51</v>
      </c>
      <c r="L13" s="16" t="s">
        <v>46</v>
      </c>
      <c r="M13" s="17" t="s">
        <v>48</v>
      </c>
      <c r="N13" s="17" t="s">
        <v>49</v>
      </c>
      <c r="O13" s="17" t="s">
        <v>50</v>
      </c>
      <c r="P13" s="25" t="s">
        <v>51</v>
      </c>
    </row>
    <row r="14" spans="1:20" ht="45" x14ac:dyDescent="0.2">
      <c r="A14" s="36">
        <v>1</v>
      </c>
      <c r="B14" s="18"/>
      <c r="C14" s="19" t="s">
        <v>217</v>
      </c>
      <c r="D14" s="5" t="s">
        <v>218</v>
      </c>
      <c r="E14" s="191">
        <v>48</v>
      </c>
      <c r="F14" s="27"/>
      <c r="G14" s="26"/>
      <c r="H14" s="26"/>
      <c r="I14" s="26"/>
      <c r="J14" s="26"/>
      <c r="K14" s="21"/>
      <c r="L14" s="22"/>
      <c r="M14" s="20"/>
      <c r="N14" s="20"/>
      <c r="O14" s="20"/>
      <c r="P14" s="21"/>
      <c r="R14" s="158"/>
      <c r="S14" s="158"/>
      <c r="T14" s="158"/>
    </row>
    <row r="15" spans="1:20" ht="45" x14ac:dyDescent="0.2">
      <c r="A15" s="36">
        <f>IF(E15&gt;0,IF(E15&gt;0,1+MAX($A$14:A14),0),0)</f>
        <v>2</v>
      </c>
      <c r="B15" s="18"/>
      <c r="C15" s="19" t="s">
        <v>219</v>
      </c>
      <c r="D15" s="5" t="s">
        <v>218</v>
      </c>
      <c r="E15" s="191">
        <v>23</v>
      </c>
      <c r="F15" s="27"/>
      <c r="G15" s="26"/>
      <c r="H15" s="26"/>
      <c r="I15" s="26"/>
      <c r="J15" s="26"/>
      <c r="K15" s="21"/>
      <c r="L15" s="22"/>
      <c r="M15" s="20"/>
      <c r="N15" s="20"/>
      <c r="O15" s="20"/>
      <c r="P15" s="21"/>
      <c r="R15" s="158"/>
      <c r="S15" s="158"/>
      <c r="T15" s="158"/>
    </row>
    <row r="16" spans="1:20" ht="45" x14ac:dyDescent="0.2">
      <c r="A16" s="36">
        <f>IF(E16&gt;0,IF(E16&gt;0,1+MAX($A$14:A15),0),0)</f>
        <v>3</v>
      </c>
      <c r="B16" s="18"/>
      <c r="C16" s="19" t="s">
        <v>220</v>
      </c>
      <c r="D16" s="5" t="s">
        <v>218</v>
      </c>
      <c r="E16" s="191">
        <v>14</v>
      </c>
      <c r="F16" s="27"/>
      <c r="G16" s="26"/>
      <c r="H16" s="26"/>
      <c r="I16" s="26"/>
      <c r="J16" s="26"/>
      <c r="K16" s="21"/>
      <c r="L16" s="22"/>
      <c r="M16" s="20"/>
      <c r="N16" s="20"/>
      <c r="O16" s="20"/>
      <c r="P16" s="21"/>
      <c r="R16" s="158"/>
      <c r="S16" s="158"/>
      <c r="T16" s="158"/>
    </row>
    <row r="17" spans="1:20" ht="45" x14ac:dyDescent="0.2">
      <c r="A17" s="36">
        <f>IF(E17&gt;0,IF(E17&gt;0,1+MAX($A$14:A16),0),0)</f>
        <v>4</v>
      </c>
      <c r="B17" s="18"/>
      <c r="C17" s="19" t="s">
        <v>221</v>
      </c>
      <c r="D17" s="5" t="s">
        <v>218</v>
      </c>
      <c r="E17" s="191">
        <v>10</v>
      </c>
      <c r="F17" s="27"/>
      <c r="G17" s="26"/>
      <c r="H17" s="26"/>
      <c r="I17" s="26"/>
      <c r="J17" s="26"/>
      <c r="K17" s="21"/>
      <c r="L17" s="22"/>
      <c r="M17" s="20"/>
      <c r="N17" s="20"/>
      <c r="O17" s="20"/>
      <c r="P17" s="21"/>
      <c r="R17" s="158"/>
      <c r="S17" s="158"/>
      <c r="T17" s="158"/>
    </row>
    <row r="18" spans="1:20" ht="45" x14ac:dyDescent="0.2">
      <c r="A18" s="36">
        <f>IF(E18&gt;0,IF(E18&gt;0,1+MAX($A$14:A17),0),0)</f>
        <v>5</v>
      </c>
      <c r="B18" s="18"/>
      <c r="C18" s="19" t="s">
        <v>222</v>
      </c>
      <c r="D18" s="5" t="s">
        <v>218</v>
      </c>
      <c r="E18" s="191">
        <v>9</v>
      </c>
      <c r="F18" s="27"/>
      <c r="G18" s="26"/>
      <c r="H18" s="26"/>
      <c r="I18" s="26"/>
      <c r="J18" s="26"/>
      <c r="K18" s="21"/>
      <c r="L18" s="22"/>
      <c r="M18" s="20"/>
      <c r="N18" s="20"/>
      <c r="O18" s="20"/>
      <c r="P18" s="21"/>
      <c r="R18" s="158"/>
      <c r="S18" s="158"/>
      <c r="T18" s="158"/>
    </row>
    <row r="19" spans="1:20" ht="45" x14ac:dyDescent="0.2">
      <c r="A19" s="36">
        <f>IF(E19&gt;0,IF(E19&gt;0,1+MAX($A$14:A18),0),0)</f>
        <v>6</v>
      </c>
      <c r="B19" s="18"/>
      <c r="C19" s="19" t="s">
        <v>223</v>
      </c>
      <c r="D19" s="5" t="s">
        <v>218</v>
      </c>
      <c r="E19" s="191">
        <v>5</v>
      </c>
      <c r="F19" s="27"/>
      <c r="G19" s="26"/>
      <c r="H19" s="26"/>
      <c r="I19" s="26"/>
      <c r="J19" s="26"/>
      <c r="K19" s="21"/>
      <c r="L19" s="22"/>
      <c r="M19" s="20"/>
      <c r="N19" s="20"/>
      <c r="O19" s="20"/>
      <c r="P19" s="21"/>
      <c r="R19" s="158"/>
      <c r="S19" s="158"/>
      <c r="T19" s="158"/>
    </row>
    <row r="20" spans="1:20" ht="45" x14ac:dyDescent="0.2">
      <c r="A20" s="36">
        <f>IF(E20&gt;0,IF(E20&gt;0,1+MAX($A$14:A19),0),0)</f>
        <v>7</v>
      </c>
      <c r="B20" s="18"/>
      <c r="C20" s="19" t="s">
        <v>224</v>
      </c>
      <c r="D20" s="5" t="s">
        <v>218</v>
      </c>
      <c r="E20" s="191">
        <v>5</v>
      </c>
      <c r="F20" s="27"/>
      <c r="G20" s="26"/>
      <c r="H20" s="26"/>
      <c r="I20" s="26"/>
      <c r="J20" s="26"/>
      <c r="K20" s="21"/>
      <c r="L20" s="22"/>
      <c r="M20" s="20"/>
      <c r="N20" s="20"/>
      <c r="O20" s="20"/>
      <c r="P20" s="21"/>
      <c r="R20" s="158"/>
      <c r="S20" s="158"/>
      <c r="T20" s="158"/>
    </row>
    <row r="21" spans="1:20" ht="45" x14ac:dyDescent="0.2">
      <c r="A21" s="36">
        <f>IF(E21&gt;0,IF(E21&gt;0,1+MAX($A$14:A20),0),0)</f>
        <v>8</v>
      </c>
      <c r="B21" s="18"/>
      <c r="C21" s="19" t="s">
        <v>225</v>
      </c>
      <c r="D21" s="5" t="s">
        <v>218</v>
      </c>
      <c r="E21" s="191">
        <v>9</v>
      </c>
      <c r="F21" s="27"/>
      <c r="G21" s="26"/>
      <c r="H21" s="26"/>
      <c r="I21" s="26"/>
      <c r="J21" s="26"/>
      <c r="K21" s="21"/>
      <c r="L21" s="22"/>
      <c r="M21" s="20"/>
      <c r="N21" s="20"/>
      <c r="O21" s="20"/>
      <c r="P21" s="21"/>
      <c r="R21" s="158"/>
      <c r="S21" s="158"/>
      <c r="T21" s="158"/>
    </row>
    <row r="22" spans="1:20" ht="45" x14ac:dyDescent="0.2">
      <c r="A22" s="36">
        <f>IF(E22&gt;0,IF(E22&gt;0,1+MAX($A$14:A21),0),0)</f>
        <v>9</v>
      </c>
      <c r="B22" s="18"/>
      <c r="C22" s="19" t="s">
        <v>226</v>
      </c>
      <c r="D22" s="5" t="s">
        <v>218</v>
      </c>
      <c r="E22" s="191">
        <v>2</v>
      </c>
      <c r="F22" s="27"/>
      <c r="G22" s="26"/>
      <c r="H22" s="26"/>
      <c r="I22" s="26"/>
      <c r="J22" s="26"/>
      <c r="K22" s="21"/>
      <c r="L22" s="22"/>
      <c r="M22" s="20"/>
      <c r="N22" s="20"/>
      <c r="O22" s="20"/>
      <c r="P22" s="21"/>
      <c r="R22" s="158"/>
      <c r="S22" s="158"/>
      <c r="T22" s="158"/>
    </row>
    <row r="23" spans="1:20" ht="45" x14ac:dyDescent="0.2">
      <c r="A23" s="36">
        <f>IF(E23&gt;0,IF(E23&gt;0,1+MAX($A$14:A22),0),0)</f>
        <v>10</v>
      </c>
      <c r="B23" s="18"/>
      <c r="C23" s="19" t="s">
        <v>227</v>
      </c>
      <c r="D23" s="5" t="s">
        <v>218</v>
      </c>
      <c r="E23" s="191">
        <v>5</v>
      </c>
      <c r="F23" s="27"/>
      <c r="G23" s="26"/>
      <c r="H23" s="26"/>
      <c r="I23" s="26"/>
      <c r="J23" s="26"/>
      <c r="K23" s="21"/>
      <c r="L23" s="22"/>
      <c r="M23" s="20"/>
      <c r="N23" s="20"/>
      <c r="O23" s="20"/>
      <c r="P23" s="21"/>
      <c r="R23" s="158"/>
      <c r="S23" s="158"/>
      <c r="T23" s="158"/>
    </row>
    <row r="24" spans="1:20" ht="45" x14ac:dyDescent="0.2">
      <c r="A24" s="36">
        <f>IF(E24&gt;0,IF(E24&gt;0,1+MAX($A$14:A23),0),0)</f>
        <v>11</v>
      </c>
      <c r="B24" s="18"/>
      <c r="C24" s="19" t="s">
        <v>228</v>
      </c>
      <c r="D24" s="5" t="s">
        <v>218</v>
      </c>
      <c r="E24" s="191">
        <v>1</v>
      </c>
      <c r="F24" s="27"/>
      <c r="G24" s="26"/>
      <c r="H24" s="26"/>
      <c r="I24" s="26"/>
      <c r="J24" s="26"/>
      <c r="K24" s="21"/>
      <c r="L24" s="22"/>
      <c r="M24" s="20"/>
      <c r="N24" s="20"/>
      <c r="O24" s="20"/>
      <c r="P24" s="21"/>
      <c r="R24" s="158"/>
      <c r="S24" s="158"/>
      <c r="T24" s="158"/>
    </row>
    <row r="25" spans="1:20" ht="45" x14ac:dyDescent="0.2">
      <c r="A25" s="36">
        <f>IF(E25&gt;0,IF(E25&gt;0,1+MAX($A$14:A24),0),0)</f>
        <v>12</v>
      </c>
      <c r="B25" s="18"/>
      <c r="C25" s="19" t="s">
        <v>260</v>
      </c>
      <c r="D25" s="5" t="s">
        <v>218</v>
      </c>
      <c r="E25" s="191">
        <v>1</v>
      </c>
      <c r="F25" s="27"/>
      <c r="G25" s="26"/>
      <c r="H25" s="26"/>
      <c r="I25" s="26"/>
      <c r="J25" s="26"/>
      <c r="K25" s="21"/>
      <c r="L25" s="22"/>
      <c r="M25" s="20"/>
      <c r="N25" s="20"/>
      <c r="O25" s="20"/>
      <c r="P25" s="21"/>
      <c r="R25" s="158"/>
      <c r="S25" s="158"/>
      <c r="T25" s="158"/>
    </row>
    <row r="26" spans="1:20" x14ac:dyDescent="0.2">
      <c r="A26" s="36">
        <f>IF(E26&gt;0,IF(E26&gt;0,1+MAX($A$14:A25),0),0)</f>
        <v>13</v>
      </c>
      <c r="B26" s="18"/>
      <c r="C26" s="19" t="s">
        <v>229</v>
      </c>
      <c r="D26" s="5" t="s">
        <v>218</v>
      </c>
      <c r="E26" s="191">
        <v>10</v>
      </c>
      <c r="F26" s="27"/>
      <c r="G26" s="26"/>
      <c r="H26" s="26"/>
      <c r="I26" s="26"/>
      <c r="J26" s="26"/>
      <c r="K26" s="21"/>
      <c r="L26" s="22"/>
      <c r="M26" s="20"/>
      <c r="N26" s="20"/>
      <c r="O26" s="20"/>
      <c r="P26" s="21"/>
      <c r="R26" s="158"/>
      <c r="S26" s="158"/>
      <c r="T26" s="158"/>
    </row>
    <row r="27" spans="1:20" ht="45" x14ac:dyDescent="0.2">
      <c r="A27" s="36">
        <f>IF(E27&gt;0,IF(E27&gt;0,1+MAX($A$14:A26),0),0)</f>
        <v>14</v>
      </c>
      <c r="B27" s="18"/>
      <c r="C27" s="19" t="s">
        <v>230</v>
      </c>
      <c r="D27" s="5" t="s">
        <v>218</v>
      </c>
      <c r="E27" s="191">
        <v>3</v>
      </c>
      <c r="F27" s="27"/>
      <c r="G27" s="26"/>
      <c r="H27" s="26"/>
      <c r="I27" s="26"/>
      <c r="J27" s="26"/>
      <c r="K27" s="21"/>
      <c r="L27" s="22"/>
      <c r="M27" s="20"/>
      <c r="N27" s="20"/>
      <c r="O27" s="20"/>
      <c r="P27" s="21"/>
      <c r="R27" s="158"/>
      <c r="S27" s="158"/>
      <c r="T27" s="158"/>
    </row>
    <row r="28" spans="1:20" ht="45" x14ac:dyDescent="0.2">
      <c r="A28" s="36">
        <f>IF(E28&gt;0,IF(E28&gt;0,1+MAX($A$14:A27),0),0)</f>
        <v>15</v>
      </c>
      <c r="B28" s="18"/>
      <c r="C28" s="19" t="s">
        <v>231</v>
      </c>
      <c r="D28" s="5" t="s">
        <v>218</v>
      </c>
      <c r="E28" s="191">
        <v>3</v>
      </c>
      <c r="F28" s="27"/>
      <c r="G28" s="26"/>
      <c r="H28" s="26"/>
      <c r="I28" s="26"/>
      <c r="J28" s="26"/>
      <c r="K28" s="21"/>
      <c r="L28" s="22"/>
      <c r="M28" s="20"/>
      <c r="N28" s="20"/>
      <c r="O28" s="20"/>
      <c r="P28" s="21"/>
      <c r="R28" s="158"/>
      <c r="S28" s="158"/>
      <c r="T28" s="158"/>
    </row>
    <row r="29" spans="1:20" x14ac:dyDescent="0.2">
      <c r="A29" s="36">
        <f>IF(E29&gt;0,IF(E29&gt;0,1+MAX($A$14:A28),0),0)</f>
        <v>16</v>
      </c>
      <c r="B29" s="18"/>
      <c r="C29" s="19" t="s">
        <v>232</v>
      </c>
      <c r="D29" s="5" t="s">
        <v>218</v>
      </c>
      <c r="E29" s="191">
        <v>132</v>
      </c>
      <c r="F29" s="27"/>
      <c r="G29" s="26"/>
      <c r="H29" s="26"/>
      <c r="I29" s="26"/>
      <c r="J29" s="26"/>
      <c r="K29" s="21"/>
      <c r="L29" s="22"/>
      <c r="M29" s="20"/>
      <c r="N29" s="20"/>
      <c r="O29" s="20"/>
      <c r="P29" s="21"/>
      <c r="R29" s="158"/>
      <c r="S29" s="158"/>
      <c r="T29" s="158"/>
    </row>
    <row r="30" spans="1:20" ht="22.5" x14ac:dyDescent="0.2">
      <c r="A30" s="36">
        <f>IF(E30&gt;0,IF(E30&gt;0,1+MAX($A$14:A29),0),0)</f>
        <v>17</v>
      </c>
      <c r="B30" s="18"/>
      <c r="C30" s="19" t="s">
        <v>233</v>
      </c>
      <c r="D30" s="5" t="s">
        <v>104</v>
      </c>
      <c r="E30" s="191">
        <v>138</v>
      </c>
      <c r="F30" s="27"/>
      <c r="G30" s="26"/>
      <c r="H30" s="26"/>
      <c r="I30" s="26"/>
      <c r="J30" s="26"/>
      <c r="K30" s="21"/>
      <c r="L30" s="22"/>
      <c r="M30" s="20"/>
      <c r="N30" s="20"/>
      <c r="O30" s="20"/>
      <c r="P30" s="21"/>
      <c r="R30" s="158"/>
      <c r="S30" s="158"/>
      <c r="T30" s="158"/>
    </row>
    <row r="31" spans="1:20" ht="22.5" x14ac:dyDescent="0.2">
      <c r="A31" s="36">
        <f>IF(E31&gt;0,IF(E31&gt;0,1+MAX($A$14:A30),0),0)</f>
        <v>18</v>
      </c>
      <c r="B31" s="18"/>
      <c r="C31" s="19" t="s">
        <v>234</v>
      </c>
      <c r="D31" s="5" t="s">
        <v>104</v>
      </c>
      <c r="E31" s="191">
        <v>138</v>
      </c>
      <c r="F31" s="27"/>
      <c r="G31" s="26"/>
      <c r="H31" s="26"/>
      <c r="I31" s="26"/>
      <c r="J31" s="26"/>
      <c r="K31" s="21"/>
      <c r="L31" s="22"/>
      <c r="M31" s="20"/>
      <c r="N31" s="20"/>
      <c r="O31" s="20"/>
      <c r="P31" s="21"/>
      <c r="R31" s="158"/>
      <c r="S31" s="158"/>
      <c r="T31" s="158"/>
    </row>
    <row r="32" spans="1:20" ht="22.5" x14ac:dyDescent="0.2">
      <c r="A32" s="36">
        <f>IF(E32&gt;0,IF(E32&gt;0,1+MAX($A$14:A31),0),0)</f>
        <v>19</v>
      </c>
      <c r="B32" s="18"/>
      <c r="C32" s="19" t="s">
        <v>235</v>
      </c>
      <c r="D32" s="5" t="s">
        <v>104</v>
      </c>
      <c r="E32" s="191">
        <v>132</v>
      </c>
      <c r="F32" s="27"/>
      <c r="G32" s="26"/>
      <c r="H32" s="26"/>
      <c r="I32" s="26"/>
      <c r="J32" s="26"/>
      <c r="K32" s="21"/>
      <c r="L32" s="22"/>
      <c r="M32" s="20"/>
      <c r="N32" s="20"/>
      <c r="O32" s="20"/>
      <c r="P32" s="21"/>
      <c r="R32" s="158"/>
      <c r="S32" s="158"/>
      <c r="T32" s="158"/>
    </row>
    <row r="33" spans="1:20" ht="33.75" x14ac:dyDescent="0.2">
      <c r="A33" s="36">
        <f>IF(E33&gt;0,IF(E33&gt;0,1+MAX($A$14:A32),0),0)</f>
        <v>20</v>
      </c>
      <c r="B33" s="18"/>
      <c r="C33" s="19" t="s">
        <v>236</v>
      </c>
      <c r="D33" s="5" t="s">
        <v>104</v>
      </c>
      <c r="E33" s="191">
        <v>6</v>
      </c>
      <c r="F33" s="27"/>
      <c r="G33" s="26"/>
      <c r="H33" s="26"/>
      <c r="I33" s="26"/>
      <c r="J33" s="26"/>
      <c r="K33" s="21"/>
      <c r="L33" s="22"/>
      <c r="M33" s="20"/>
      <c r="N33" s="20"/>
      <c r="O33" s="20"/>
      <c r="P33" s="21"/>
      <c r="R33" s="158"/>
      <c r="S33" s="158"/>
      <c r="T33" s="158"/>
    </row>
    <row r="34" spans="1:20" x14ac:dyDescent="0.2">
      <c r="A34" s="36">
        <f>IF(E34&gt;0,IF(E34&gt;0,1+MAX($A$14:A33),0),0)</f>
        <v>21</v>
      </c>
      <c r="B34" s="18"/>
      <c r="C34" s="19" t="s">
        <v>237</v>
      </c>
      <c r="D34" s="5" t="s">
        <v>104</v>
      </c>
      <c r="E34" s="191">
        <v>35</v>
      </c>
      <c r="F34" s="27"/>
      <c r="G34" s="26"/>
      <c r="H34" s="26"/>
      <c r="I34" s="26"/>
      <c r="J34" s="26"/>
      <c r="K34" s="21"/>
      <c r="L34" s="22"/>
      <c r="M34" s="20"/>
      <c r="N34" s="20"/>
      <c r="O34" s="20"/>
      <c r="P34" s="21"/>
      <c r="R34" s="158"/>
      <c r="S34" s="158"/>
      <c r="T34" s="158"/>
    </row>
    <row r="35" spans="1:20" x14ac:dyDescent="0.2">
      <c r="A35" s="36">
        <f>IF(E35&gt;0,IF(E35&gt;0,1+MAX($A$14:A34),0),0)</f>
        <v>22</v>
      </c>
      <c r="B35" s="18"/>
      <c r="C35" s="19" t="s">
        <v>238</v>
      </c>
      <c r="D35" s="5" t="s">
        <v>104</v>
      </c>
      <c r="E35" s="191">
        <v>35</v>
      </c>
      <c r="F35" s="27"/>
      <c r="G35" s="26"/>
      <c r="H35" s="26"/>
      <c r="I35" s="26"/>
      <c r="J35" s="26"/>
      <c r="K35" s="21"/>
      <c r="L35" s="22"/>
      <c r="M35" s="20"/>
      <c r="N35" s="20"/>
      <c r="O35" s="20"/>
      <c r="P35" s="21"/>
      <c r="R35" s="158"/>
      <c r="S35" s="158"/>
      <c r="T35" s="158"/>
    </row>
    <row r="36" spans="1:20" x14ac:dyDescent="0.2">
      <c r="A36" s="36">
        <f>IF(E36&gt;0,IF(E36&gt;0,1+MAX($A$14:A35),0),0)</f>
        <v>23</v>
      </c>
      <c r="B36" s="18"/>
      <c r="C36" s="19" t="s">
        <v>261</v>
      </c>
      <c r="D36" s="5" t="s">
        <v>104</v>
      </c>
      <c r="E36" s="191">
        <v>6</v>
      </c>
      <c r="F36" s="27"/>
      <c r="G36" s="26"/>
      <c r="H36" s="26"/>
      <c r="I36" s="26"/>
      <c r="J36" s="26"/>
      <c r="K36" s="21"/>
      <c r="L36" s="22"/>
      <c r="M36" s="20"/>
      <c r="N36" s="20"/>
      <c r="O36" s="20"/>
      <c r="P36" s="21"/>
      <c r="R36" s="158"/>
      <c r="S36" s="158"/>
      <c r="T36" s="158"/>
    </row>
    <row r="37" spans="1:20" x14ac:dyDescent="0.2">
      <c r="A37" s="36">
        <f>IF(E37&gt;0,IF(E37&gt;0,1+MAX($A$14:A36),0),0)</f>
        <v>24</v>
      </c>
      <c r="B37" s="18"/>
      <c r="C37" s="19" t="s">
        <v>239</v>
      </c>
      <c r="D37" s="5" t="s">
        <v>104</v>
      </c>
      <c r="E37" s="191">
        <v>6</v>
      </c>
      <c r="F37" s="27"/>
      <c r="G37" s="26"/>
      <c r="H37" s="26"/>
      <c r="I37" s="26"/>
      <c r="J37" s="26"/>
      <c r="K37" s="21"/>
      <c r="L37" s="22"/>
      <c r="M37" s="20"/>
      <c r="N37" s="20"/>
      <c r="O37" s="20"/>
      <c r="P37" s="21"/>
      <c r="R37" s="158"/>
      <c r="S37" s="158"/>
      <c r="T37" s="158"/>
    </row>
    <row r="38" spans="1:20" x14ac:dyDescent="0.2">
      <c r="A38" s="36">
        <f>IF(E38&gt;0,IF(E38&gt;0,1+MAX($A$14:A37),0),0)</f>
        <v>25</v>
      </c>
      <c r="B38" s="18"/>
      <c r="C38" s="19" t="s">
        <v>240</v>
      </c>
      <c r="D38" s="5" t="s">
        <v>104</v>
      </c>
      <c r="E38" s="191">
        <v>6</v>
      </c>
      <c r="F38" s="27"/>
      <c r="G38" s="26"/>
      <c r="H38" s="26"/>
      <c r="I38" s="26"/>
      <c r="J38" s="26"/>
      <c r="K38" s="21"/>
      <c r="L38" s="22"/>
      <c r="M38" s="20"/>
      <c r="N38" s="20"/>
      <c r="O38" s="20"/>
      <c r="P38" s="21"/>
      <c r="R38" s="158"/>
      <c r="S38" s="158"/>
      <c r="T38" s="158"/>
    </row>
    <row r="39" spans="1:20" x14ac:dyDescent="0.2">
      <c r="A39" s="36">
        <f>IF(E39&gt;0,IF(E39&gt;0,1+MAX($A$14:A38),0),0)</f>
        <v>26</v>
      </c>
      <c r="B39" s="18"/>
      <c r="C39" s="19" t="s">
        <v>241</v>
      </c>
      <c r="D39" s="5" t="s">
        <v>110</v>
      </c>
      <c r="E39" s="191">
        <v>540</v>
      </c>
      <c r="F39" s="27"/>
      <c r="G39" s="26"/>
      <c r="H39" s="26"/>
      <c r="I39" s="26"/>
      <c r="J39" s="26"/>
      <c r="K39" s="21"/>
      <c r="L39" s="22"/>
      <c r="M39" s="20"/>
      <c r="N39" s="20"/>
      <c r="O39" s="20"/>
      <c r="P39" s="21"/>
      <c r="R39" s="158"/>
      <c r="S39" s="158"/>
      <c r="T39" s="158"/>
    </row>
    <row r="40" spans="1:20" x14ac:dyDescent="0.2">
      <c r="A40" s="36">
        <f>IF(E40&gt;0,IF(E40&gt;0,1+MAX($A$14:A39),0),0)</f>
        <v>27</v>
      </c>
      <c r="B40" s="18"/>
      <c r="C40" s="19" t="s">
        <v>242</v>
      </c>
      <c r="D40" s="5" t="s">
        <v>110</v>
      </c>
      <c r="E40" s="191">
        <v>950</v>
      </c>
      <c r="F40" s="27"/>
      <c r="G40" s="26"/>
      <c r="H40" s="26"/>
      <c r="I40" s="26"/>
      <c r="J40" s="26"/>
      <c r="K40" s="21"/>
      <c r="L40" s="22"/>
      <c r="M40" s="20"/>
      <c r="N40" s="20"/>
      <c r="O40" s="20"/>
      <c r="P40" s="21"/>
      <c r="R40" s="158"/>
      <c r="S40" s="158"/>
      <c r="T40" s="158"/>
    </row>
    <row r="41" spans="1:20" x14ac:dyDescent="0.2">
      <c r="A41" s="36">
        <f>IF(E41&gt;0,IF(E41&gt;0,1+MAX($A$14:A40),0),0)</f>
        <v>28</v>
      </c>
      <c r="B41" s="18"/>
      <c r="C41" s="19" t="s">
        <v>243</v>
      </c>
      <c r="D41" s="5" t="s">
        <v>110</v>
      </c>
      <c r="E41" s="191">
        <v>75</v>
      </c>
      <c r="F41" s="27"/>
      <c r="G41" s="26"/>
      <c r="H41" s="26"/>
      <c r="I41" s="26"/>
      <c r="J41" s="26"/>
      <c r="K41" s="21"/>
      <c r="L41" s="22"/>
      <c r="M41" s="20"/>
      <c r="N41" s="20"/>
      <c r="O41" s="20"/>
      <c r="P41" s="21"/>
      <c r="R41" s="158"/>
      <c r="S41" s="158"/>
      <c r="T41" s="158"/>
    </row>
    <row r="42" spans="1:20" x14ac:dyDescent="0.2">
      <c r="A42" s="36">
        <f>IF(E42&gt;0,IF(E42&gt;0,1+MAX($A$14:A41),0),0)</f>
        <v>29</v>
      </c>
      <c r="B42" s="18"/>
      <c r="C42" s="19" t="s">
        <v>244</v>
      </c>
      <c r="D42" s="5" t="s">
        <v>110</v>
      </c>
      <c r="E42" s="191">
        <v>450</v>
      </c>
      <c r="F42" s="27"/>
      <c r="G42" s="26"/>
      <c r="H42" s="26"/>
      <c r="I42" s="26"/>
      <c r="J42" s="26"/>
      <c r="K42" s="21"/>
      <c r="L42" s="22"/>
      <c r="M42" s="20"/>
      <c r="N42" s="20"/>
      <c r="O42" s="20"/>
      <c r="P42" s="21"/>
      <c r="R42" s="158"/>
      <c r="S42" s="158"/>
      <c r="T42" s="158"/>
    </row>
    <row r="43" spans="1:20" x14ac:dyDescent="0.2">
      <c r="A43" s="36">
        <f>IF(E43&gt;0,IF(E43&gt;0,1+MAX($A$14:A42),0),0)</f>
        <v>30</v>
      </c>
      <c r="B43" s="18"/>
      <c r="C43" s="19" t="s">
        <v>245</v>
      </c>
      <c r="D43" s="5" t="s">
        <v>110</v>
      </c>
      <c r="E43" s="191">
        <v>40</v>
      </c>
      <c r="F43" s="27"/>
      <c r="G43" s="26"/>
      <c r="H43" s="26"/>
      <c r="I43" s="26"/>
      <c r="J43" s="26"/>
      <c r="K43" s="21"/>
      <c r="L43" s="22"/>
      <c r="M43" s="20"/>
      <c r="N43" s="20"/>
      <c r="O43" s="20"/>
      <c r="P43" s="21"/>
      <c r="R43" s="158"/>
      <c r="S43" s="158"/>
      <c r="T43" s="158"/>
    </row>
    <row r="44" spans="1:20" x14ac:dyDescent="0.2">
      <c r="A44" s="36">
        <f>IF(E44&gt;0,IF(E44&gt;0,1+MAX($A$14:A43),0),0)</f>
        <v>31</v>
      </c>
      <c r="B44" s="18"/>
      <c r="C44" s="19" t="s">
        <v>246</v>
      </c>
      <c r="D44" s="5" t="s">
        <v>110</v>
      </c>
      <c r="E44" s="191">
        <v>45</v>
      </c>
      <c r="F44" s="27"/>
      <c r="G44" s="26"/>
      <c r="H44" s="26"/>
      <c r="I44" s="26"/>
      <c r="J44" s="26"/>
      <c r="K44" s="21"/>
      <c r="L44" s="22"/>
      <c r="M44" s="20"/>
      <c r="N44" s="20"/>
      <c r="O44" s="20"/>
      <c r="P44" s="21"/>
      <c r="R44" s="158"/>
      <c r="S44" s="158"/>
      <c r="T44" s="158"/>
    </row>
    <row r="45" spans="1:20" ht="33.75" x14ac:dyDescent="0.2">
      <c r="A45" s="36">
        <f>IF(E45&gt;0,IF(E45&gt;0,1+MAX($A$14:A44),0),0)</f>
        <v>32</v>
      </c>
      <c r="B45" s="18"/>
      <c r="C45" s="19" t="s">
        <v>380</v>
      </c>
      <c r="D45" s="5" t="s">
        <v>110</v>
      </c>
      <c r="E45" s="191">
        <v>100</v>
      </c>
      <c r="F45" s="27"/>
      <c r="G45" s="26"/>
      <c r="H45" s="26"/>
      <c r="I45" s="26"/>
      <c r="J45" s="26"/>
      <c r="K45" s="21"/>
      <c r="L45" s="22"/>
      <c r="M45" s="20"/>
      <c r="N45" s="20"/>
      <c r="O45" s="20"/>
      <c r="P45" s="21"/>
      <c r="R45" s="158"/>
      <c r="S45" s="158"/>
      <c r="T45" s="158"/>
    </row>
    <row r="46" spans="1:20" ht="33.75" x14ac:dyDescent="0.2">
      <c r="A46" s="36">
        <f>IF(E46&gt;0,IF(E46&gt;0,1+MAX($A$14:A45),0),0)</f>
        <v>33</v>
      </c>
      <c r="B46" s="18"/>
      <c r="C46" s="19" t="s">
        <v>381</v>
      </c>
      <c r="D46" s="5" t="s">
        <v>110</v>
      </c>
      <c r="E46" s="191">
        <v>380</v>
      </c>
      <c r="F46" s="27"/>
      <c r="G46" s="26"/>
      <c r="H46" s="26"/>
      <c r="I46" s="26"/>
      <c r="J46" s="26"/>
      <c r="K46" s="21"/>
      <c r="L46" s="22"/>
      <c r="M46" s="20"/>
      <c r="N46" s="20"/>
      <c r="O46" s="20"/>
      <c r="P46" s="21"/>
      <c r="R46" s="158"/>
      <c r="S46" s="158"/>
      <c r="T46" s="158"/>
    </row>
    <row r="47" spans="1:20" ht="33.75" x14ac:dyDescent="0.2">
      <c r="A47" s="36">
        <f>IF(E47&gt;0,IF(E47&gt;0,1+MAX($A$14:A46),0),0)</f>
        <v>34</v>
      </c>
      <c r="B47" s="18"/>
      <c r="C47" s="19" t="s">
        <v>382</v>
      </c>
      <c r="D47" s="5" t="s">
        <v>110</v>
      </c>
      <c r="E47" s="191">
        <v>80</v>
      </c>
      <c r="F47" s="27"/>
      <c r="G47" s="26"/>
      <c r="H47" s="26"/>
      <c r="I47" s="26"/>
      <c r="J47" s="26"/>
      <c r="K47" s="21"/>
      <c r="L47" s="22"/>
      <c r="M47" s="20"/>
      <c r="N47" s="20"/>
      <c r="O47" s="20"/>
      <c r="P47" s="21"/>
      <c r="R47" s="158"/>
      <c r="S47" s="158"/>
      <c r="T47" s="158"/>
    </row>
    <row r="48" spans="1:20" ht="33.75" x14ac:dyDescent="0.2">
      <c r="A48" s="36">
        <f>IF(E48&gt;0,IF(E48&gt;0,1+MAX($A$14:A47),0),0)</f>
        <v>35</v>
      </c>
      <c r="B48" s="18"/>
      <c r="C48" s="19" t="s">
        <v>383</v>
      </c>
      <c r="D48" s="5" t="s">
        <v>110</v>
      </c>
      <c r="E48" s="191">
        <v>485</v>
      </c>
      <c r="F48" s="27"/>
      <c r="G48" s="26"/>
      <c r="H48" s="26"/>
      <c r="I48" s="26"/>
      <c r="J48" s="26"/>
      <c r="K48" s="21"/>
      <c r="L48" s="22"/>
      <c r="M48" s="20"/>
      <c r="N48" s="20"/>
      <c r="O48" s="20"/>
      <c r="P48" s="21"/>
      <c r="R48" s="158"/>
      <c r="S48" s="158"/>
      <c r="T48" s="158"/>
    </row>
    <row r="49" spans="1:20" ht="33.75" x14ac:dyDescent="0.2">
      <c r="A49" s="36">
        <f>IF(E49&gt;0,IF(E49&gt;0,1+MAX($A$14:A48),0),0)</f>
        <v>36</v>
      </c>
      <c r="B49" s="18"/>
      <c r="C49" s="19" t="s">
        <v>384</v>
      </c>
      <c r="D49" s="5" t="s">
        <v>110</v>
      </c>
      <c r="E49" s="191">
        <v>40</v>
      </c>
      <c r="F49" s="27"/>
      <c r="G49" s="26"/>
      <c r="H49" s="26"/>
      <c r="I49" s="26"/>
      <c r="J49" s="26"/>
      <c r="K49" s="21"/>
      <c r="L49" s="22"/>
      <c r="M49" s="20"/>
      <c r="N49" s="20"/>
      <c r="O49" s="20"/>
      <c r="P49" s="21"/>
      <c r="R49" s="158"/>
      <c r="S49" s="158"/>
      <c r="T49" s="158"/>
    </row>
    <row r="50" spans="1:20" ht="33.75" x14ac:dyDescent="0.2">
      <c r="A50" s="36">
        <f>IF(E50&gt;0,IF(E50&gt;0,1+MAX($A$14:A49),0),0)</f>
        <v>37</v>
      </c>
      <c r="B50" s="18"/>
      <c r="C50" s="19" t="s">
        <v>385</v>
      </c>
      <c r="D50" s="5" t="s">
        <v>110</v>
      </c>
      <c r="E50" s="191">
        <v>45</v>
      </c>
      <c r="F50" s="27"/>
      <c r="G50" s="26"/>
      <c r="H50" s="26"/>
      <c r="I50" s="26"/>
      <c r="J50" s="26"/>
      <c r="K50" s="21"/>
      <c r="L50" s="22"/>
      <c r="M50" s="20"/>
      <c r="N50" s="20"/>
      <c r="O50" s="20"/>
      <c r="P50" s="21"/>
      <c r="R50" s="158"/>
      <c r="S50" s="158"/>
      <c r="T50" s="158"/>
    </row>
    <row r="51" spans="1:20" x14ac:dyDescent="0.2">
      <c r="A51" s="36">
        <f>IF(E51&gt;0,IF(E51&gt;0,1+MAX($A$14:A50),0),0)</f>
        <v>38</v>
      </c>
      <c r="B51" s="18"/>
      <c r="C51" s="19" t="s">
        <v>247</v>
      </c>
      <c r="D51" s="5" t="s">
        <v>218</v>
      </c>
      <c r="E51" s="191">
        <v>1</v>
      </c>
      <c r="F51" s="27"/>
      <c r="G51" s="26"/>
      <c r="H51" s="26"/>
      <c r="I51" s="26"/>
      <c r="J51" s="26"/>
      <c r="K51" s="21"/>
      <c r="L51" s="22"/>
      <c r="M51" s="20"/>
      <c r="N51" s="20"/>
      <c r="O51" s="20"/>
      <c r="P51" s="21"/>
      <c r="R51" s="158"/>
      <c r="S51" s="158"/>
      <c r="T51" s="158"/>
    </row>
    <row r="52" spans="1:20" x14ac:dyDescent="0.2">
      <c r="A52" s="36">
        <f>IF(E52&gt;0,IF(E52&gt;0,1+MAX($A$14:A51),0),0)</f>
        <v>39</v>
      </c>
      <c r="B52" s="18"/>
      <c r="C52" s="19" t="s">
        <v>248</v>
      </c>
      <c r="D52" s="5" t="s">
        <v>218</v>
      </c>
      <c r="E52" s="191">
        <v>1</v>
      </c>
      <c r="F52" s="27"/>
      <c r="G52" s="26"/>
      <c r="H52" s="26"/>
      <c r="I52" s="26"/>
      <c r="J52" s="26"/>
      <c r="K52" s="21"/>
      <c r="L52" s="22"/>
      <c r="M52" s="20"/>
      <c r="N52" s="20"/>
      <c r="O52" s="20"/>
      <c r="P52" s="21"/>
      <c r="R52" s="158"/>
      <c r="S52" s="158"/>
      <c r="T52" s="158"/>
    </row>
    <row r="53" spans="1:20" x14ac:dyDescent="0.2">
      <c r="A53" s="36">
        <f>IF(E53&gt;0,IF(E53&gt;0,1+MAX($A$14:A52),0),0)</f>
        <v>40</v>
      </c>
      <c r="B53" s="18"/>
      <c r="C53" s="19" t="s">
        <v>249</v>
      </c>
      <c r="D53" s="5" t="s">
        <v>218</v>
      </c>
      <c r="E53" s="191">
        <v>1</v>
      </c>
      <c r="F53" s="27"/>
      <c r="G53" s="26"/>
      <c r="H53" s="26"/>
      <c r="I53" s="26"/>
      <c r="J53" s="26"/>
      <c r="K53" s="21"/>
      <c r="L53" s="22"/>
      <c r="M53" s="20"/>
      <c r="N53" s="20"/>
      <c r="O53" s="20"/>
      <c r="P53" s="21"/>
      <c r="R53" s="158"/>
      <c r="S53" s="158"/>
      <c r="T53" s="158"/>
    </row>
    <row r="54" spans="1:20" x14ac:dyDescent="0.2">
      <c r="A54" s="36">
        <f>IF(E54&gt;0,IF(E54&gt;0,1+MAX($A$14:A53),0),0)</f>
        <v>41</v>
      </c>
      <c r="B54" s="18"/>
      <c r="C54" s="19" t="s">
        <v>250</v>
      </c>
      <c r="D54" s="5" t="s">
        <v>218</v>
      </c>
      <c r="E54" s="191">
        <v>1</v>
      </c>
      <c r="F54" s="27"/>
      <c r="G54" s="26"/>
      <c r="H54" s="26"/>
      <c r="I54" s="26"/>
      <c r="J54" s="26"/>
      <c r="K54" s="21"/>
      <c r="L54" s="22"/>
      <c r="M54" s="20"/>
      <c r="N54" s="20"/>
      <c r="O54" s="20"/>
      <c r="P54" s="21"/>
      <c r="R54" s="158"/>
      <c r="S54" s="158"/>
      <c r="T54" s="158"/>
    </row>
    <row r="55" spans="1:20" x14ac:dyDescent="0.2">
      <c r="A55" s="36">
        <f>IF(E55&gt;0,IF(E55&gt;0,1+MAX($A$14:A54),0),0)</f>
        <v>42</v>
      </c>
      <c r="B55" s="18"/>
      <c r="C55" s="19" t="s">
        <v>251</v>
      </c>
      <c r="D55" s="5" t="s">
        <v>218</v>
      </c>
      <c r="E55" s="191">
        <v>1</v>
      </c>
      <c r="F55" s="27"/>
      <c r="G55" s="26"/>
      <c r="H55" s="26"/>
      <c r="I55" s="26"/>
      <c r="J55" s="26"/>
      <c r="K55" s="21"/>
      <c r="L55" s="22"/>
      <c r="M55" s="20"/>
      <c r="N55" s="20"/>
      <c r="O55" s="20"/>
      <c r="P55" s="21"/>
      <c r="R55" s="158"/>
      <c r="S55" s="158"/>
      <c r="T55" s="158"/>
    </row>
    <row r="56" spans="1:20" x14ac:dyDescent="0.2">
      <c r="A56" s="36">
        <f>IF(E56&gt;0,IF(E56&gt;0,1+MAX($A$14:A55),0),0)</f>
        <v>43</v>
      </c>
      <c r="B56" s="18"/>
      <c r="C56" s="19" t="s">
        <v>252</v>
      </c>
      <c r="D56" s="5" t="s">
        <v>218</v>
      </c>
      <c r="E56" s="191">
        <v>1</v>
      </c>
      <c r="F56" s="27"/>
      <c r="G56" s="26"/>
      <c r="H56" s="26"/>
      <c r="I56" s="26"/>
      <c r="J56" s="26"/>
      <c r="K56" s="21"/>
      <c r="L56" s="22"/>
      <c r="M56" s="20"/>
      <c r="N56" s="20"/>
      <c r="O56" s="20"/>
      <c r="P56" s="21"/>
      <c r="R56" s="158"/>
      <c r="S56" s="158"/>
      <c r="T56" s="158"/>
    </row>
    <row r="57" spans="1:20" x14ac:dyDescent="0.2">
      <c r="A57" s="36">
        <f>IF(E57&gt;0,IF(E57&gt;0,1+MAX($A$14:A56),0),0)</f>
        <v>44</v>
      </c>
      <c r="B57" s="18"/>
      <c r="C57" s="19" t="s">
        <v>253</v>
      </c>
      <c r="D57" s="5" t="s">
        <v>218</v>
      </c>
      <c r="E57" s="191">
        <v>1</v>
      </c>
      <c r="F57" s="27"/>
      <c r="G57" s="26"/>
      <c r="H57" s="26"/>
      <c r="I57" s="26"/>
      <c r="J57" s="26"/>
      <c r="K57" s="21"/>
      <c r="L57" s="22"/>
      <c r="M57" s="20"/>
      <c r="N57" s="20"/>
      <c r="O57" s="20"/>
      <c r="P57" s="21"/>
      <c r="R57" s="158"/>
      <c r="S57" s="158"/>
      <c r="T57" s="158"/>
    </row>
    <row r="58" spans="1:20" x14ac:dyDescent="0.2">
      <c r="A58" s="36">
        <f>IF(E58&gt;0,IF(E58&gt;0,1+MAX($A$14:A57),0),0)</f>
        <v>45</v>
      </c>
      <c r="B58" s="18"/>
      <c r="C58" s="19" t="s">
        <v>254</v>
      </c>
      <c r="D58" s="5" t="s">
        <v>218</v>
      </c>
      <c r="E58" s="191">
        <v>1</v>
      </c>
      <c r="F58" s="27"/>
      <c r="G58" s="26"/>
      <c r="H58" s="26"/>
      <c r="I58" s="26"/>
      <c r="J58" s="26"/>
      <c r="K58" s="21"/>
      <c r="L58" s="22"/>
      <c r="M58" s="20"/>
      <c r="N58" s="20"/>
      <c r="O58" s="20"/>
      <c r="P58" s="21"/>
      <c r="R58" s="158"/>
      <c r="S58" s="158"/>
      <c r="T58" s="158"/>
    </row>
    <row r="59" spans="1:20" x14ac:dyDescent="0.2">
      <c r="A59" s="36">
        <f>IF(E59&gt;0,IF(E59&gt;0,1+MAX($A$14:A58),0),0)</f>
        <v>46</v>
      </c>
      <c r="B59" s="18"/>
      <c r="C59" s="19" t="s">
        <v>255</v>
      </c>
      <c r="D59" s="5" t="s">
        <v>218</v>
      </c>
      <c r="E59" s="191">
        <v>1</v>
      </c>
      <c r="F59" s="27"/>
      <c r="G59" s="26"/>
      <c r="H59" s="26"/>
      <c r="I59" s="26"/>
      <c r="J59" s="26"/>
      <c r="K59" s="21"/>
      <c r="L59" s="22"/>
      <c r="M59" s="20"/>
      <c r="N59" s="20"/>
      <c r="O59" s="20"/>
      <c r="P59" s="21"/>
      <c r="R59" s="158"/>
      <c r="S59" s="158"/>
      <c r="T59" s="158"/>
    </row>
    <row r="60" spans="1:20" x14ac:dyDescent="0.2">
      <c r="A60" s="36">
        <f>IF(E60&gt;0,IF(E60&gt;0,1+MAX($A$14:A59),0),0)</f>
        <v>47</v>
      </c>
      <c r="B60" s="18"/>
      <c r="C60" s="19" t="s">
        <v>256</v>
      </c>
      <c r="D60" s="5" t="s">
        <v>218</v>
      </c>
      <c r="E60" s="191">
        <v>1</v>
      </c>
      <c r="F60" s="27"/>
      <c r="G60" s="26"/>
      <c r="H60" s="26"/>
      <c r="I60" s="26"/>
      <c r="J60" s="26"/>
      <c r="K60" s="21"/>
      <c r="L60" s="22"/>
      <c r="M60" s="20"/>
      <c r="N60" s="20"/>
      <c r="O60" s="20"/>
      <c r="P60" s="21"/>
      <c r="R60" s="158"/>
      <c r="S60" s="158"/>
      <c r="T60" s="158"/>
    </row>
    <row r="61" spans="1:20" x14ac:dyDescent="0.2">
      <c r="A61" s="36">
        <f>IF(E61&gt;0,IF(E61&gt;0,1+MAX($A$14:A60),0),0)</f>
        <v>48</v>
      </c>
      <c r="B61" s="18"/>
      <c r="C61" s="19" t="s">
        <v>257</v>
      </c>
      <c r="D61" s="5" t="s">
        <v>218</v>
      </c>
      <c r="E61" s="191">
        <v>1</v>
      </c>
      <c r="F61" s="27"/>
      <c r="G61" s="26"/>
      <c r="H61" s="26"/>
      <c r="I61" s="26"/>
      <c r="J61" s="26"/>
      <c r="K61" s="21"/>
      <c r="L61" s="22"/>
      <c r="M61" s="20"/>
      <c r="N61" s="20"/>
      <c r="O61" s="20"/>
      <c r="P61" s="21"/>
      <c r="R61" s="158"/>
      <c r="S61" s="158"/>
      <c r="T61" s="158"/>
    </row>
    <row r="62" spans="1:20" x14ac:dyDescent="0.2">
      <c r="A62" s="36">
        <f>IF(E62&gt;0,IF(E62&gt;0,1+MAX($A$14:A61),0),0)</f>
        <v>49</v>
      </c>
      <c r="B62" s="18"/>
      <c r="C62" s="19" t="s">
        <v>258</v>
      </c>
      <c r="D62" s="5" t="s">
        <v>218</v>
      </c>
      <c r="E62" s="191">
        <v>1</v>
      </c>
      <c r="F62" s="27"/>
      <c r="G62" s="26"/>
      <c r="H62" s="26"/>
      <c r="I62" s="26"/>
      <c r="J62" s="26"/>
      <c r="K62" s="21"/>
      <c r="L62" s="22"/>
      <c r="M62" s="20"/>
      <c r="N62" s="20"/>
      <c r="O62" s="20"/>
      <c r="P62" s="21"/>
      <c r="R62" s="158"/>
      <c r="S62" s="158"/>
      <c r="T62" s="158"/>
    </row>
    <row r="63" spans="1:20" ht="23.25" thickBot="1" x14ac:dyDescent="0.25">
      <c r="A63" s="36">
        <f>IF(E63&gt;0,IF(E63&gt;0,1+MAX($A$14:A62),0),0)</f>
        <v>50</v>
      </c>
      <c r="B63" s="18"/>
      <c r="C63" s="19" t="s">
        <v>259</v>
      </c>
      <c r="D63" s="5" t="s">
        <v>218</v>
      </c>
      <c r="E63" s="191">
        <v>1</v>
      </c>
      <c r="F63" s="27"/>
      <c r="G63" s="26"/>
      <c r="H63" s="26"/>
      <c r="I63" s="26"/>
      <c r="J63" s="26"/>
      <c r="K63" s="21"/>
      <c r="L63" s="22"/>
      <c r="M63" s="20"/>
      <c r="N63" s="20"/>
      <c r="O63" s="20"/>
      <c r="P63" s="21"/>
      <c r="R63" s="158"/>
      <c r="S63" s="158"/>
      <c r="T63" s="158"/>
    </row>
    <row r="64" spans="1:20" ht="12" customHeight="1" thickBot="1" x14ac:dyDescent="0.25">
      <c r="A64" s="309" t="s">
        <v>278</v>
      </c>
      <c r="B64" s="310"/>
      <c r="C64" s="310"/>
      <c r="D64" s="310"/>
      <c r="E64" s="310"/>
      <c r="F64" s="310"/>
      <c r="G64" s="310"/>
      <c r="H64" s="310"/>
      <c r="I64" s="310"/>
      <c r="J64" s="310"/>
      <c r="K64" s="311"/>
      <c r="L64" s="28">
        <f>SUM(L14:L63)</f>
        <v>0</v>
      </c>
      <c r="M64" s="29">
        <f>SUM(M14:M63)</f>
        <v>0</v>
      </c>
      <c r="N64" s="29">
        <f>SUM(N14:N63)</f>
        <v>0</v>
      </c>
      <c r="O64" s="29">
        <f>SUM(O14:O63)</f>
        <v>0</v>
      </c>
      <c r="P64" s="30">
        <f>SUM(P14:P63)</f>
        <v>0</v>
      </c>
    </row>
    <row r="65" spans="1:16" x14ac:dyDescent="0.2">
      <c r="A65" s="3"/>
      <c r="B65" s="3"/>
      <c r="C65" s="3"/>
      <c r="D65" s="3"/>
      <c r="E65" s="192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3"/>
      <c r="B66" s="3"/>
      <c r="C66" s="3"/>
      <c r="D66" s="3"/>
      <c r="E66" s="192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1" t="s">
        <v>14</v>
      </c>
      <c r="B67" s="3"/>
      <c r="C67" s="312" t="str">
        <f>'Kops a'!C33:H33</f>
        <v>Armands Ūbelis</v>
      </c>
      <c r="D67" s="312"/>
      <c r="E67" s="312"/>
      <c r="F67" s="312"/>
      <c r="G67" s="312"/>
      <c r="H67" s="312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3"/>
      <c r="B68" s="3"/>
      <c r="C68" s="305" t="s">
        <v>15</v>
      </c>
      <c r="D68" s="305"/>
      <c r="E68" s="305"/>
      <c r="F68" s="305"/>
      <c r="G68" s="305"/>
      <c r="H68" s="305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3"/>
      <c r="B69" s="3"/>
      <c r="C69" s="3"/>
      <c r="D69" s="3"/>
      <c r="E69" s="192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31" t="str">
        <f>'Kops a'!A36</f>
        <v>Tāme sastādīta 2021. gada 13. maijā</v>
      </c>
      <c r="B70" s="32"/>
      <c r="C70" s="32"/>
      <c r="D70" s="32"/>
      <c r="E70" s="192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x14ac:dyDescent="0.2">
      <c r="A71" s="3"/>
      <c r="B71" s="3"/>
      <c r="C71" s="3"/>
      <c r="D71" s="3"/>
      <c r="E71" s="192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x14ac:dyDescent="0.2">
      <c r="A72" s="1" t="s">
        <v>37</v>
      </c>
      <c r="B72" s="3"/>
      <c r="C72" s="312" t="str">
        <f>'Kops a'!C38:H38</f>
        <v xml:space="preserve"> </v>
      </c>
      <c r="D72" s="312"/>
      <c r="E72" s="312"/>
      <c r="F72" s="312"/>
      <c r="G72" s="312"/>
      <c r="H72" s="312"/>
      <c r="I72" s="3"/>
      <c r="J72" s="3"/>
      <c r="K72" s="3"/>
      <c r="L72" s="3"/>
      <c r="M72" s="3"/>
      <c r="N72" s="3"/>
      <c r="O72" s="3"/>
      <c r="P72" s="3"/>
    </row>
    <row r="73" spans="1:16" x14ac:dyDescent="0.2">
      <c r="A73" s="3"/>
      <c r="B73" s="3"/>
      <c r="C73" s="305" t="s">
        <v>15</v>
      </c>
      <c r="D73" s="305"/>
      <c r="E73" s="305"/>
      <c r="F73" s="305"/>
      <c r="G73" s="305"/>
      <c r="H73" s="305"/>
      <c r="I73" s="3"/>
      <c r="J73" s="3"/>
      <c r="K73" s="3"/>
      <c r="L73" s="3"/>
      <c r="M73" s="3"/>
      <c r="N73" s="3"/>
      <c r="O73" s="3"/>
      <c r="P73" s="3"/>
    </row>
    <row r="74" spans="1:16" x14ac:dyDescent="0.2">
      <c r="A74" s="3"/>
      <c r="B74" s="3"/>
      <c r="C74" s="3"/>
      <c r="D74" s="3"/>
      <c r="E74" s="192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x14ac:dyDescent="0.2">
      <c r="A75" s="31" t="s">
        <v>54</v>
      </c>
      <c r="B75" s="32"/>
      <c r="C75" s="35" t="str">
        <f>'Kops a'!C41</f>
        <v>4-02608</v>
      </c>
      <c r="D75" s="23"/>
      <c r="E75" s="192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x14ac:dyDescent="0.2">
      <c r="A76" s="3"/>
      <c r="B76" s="3"/>
      <c r="C76" s="3"/>
      <c r="D76" s="3"/>
      <c r="E76" s="192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</sheetData>
  <mergeCells count="22">
    <mergeCell ref="C73:H73"/>
    <mergeCell ref="C4:I4"/>
    <mergeCell ref="F12:K12"/>
    <mergeCell ref="A9:F9"/>
    <mergeCell ref="J9:M9"/>
    <mergeCell ref="D8:L8"/>
    <mergeCell ref="A64:K64"/>
    <mergeCell ref="C67:H67"/>
    <mergeCell ref="C68:H68"/>
    <mergeCell ref="C72:H72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4:G63 I14:J63">
    <cfRule type="cellIs" dxfId="15" priority="35" operator="equal">
      <formula>0</formula>
    </cfRule>
  </conditionalFormatting>
  <conditionalFormatting sqref="N9:O9 K14:P63 H14:H63">
    <cfRule type="cellIs" dxfId="14" priority="34" operator="equal">
      <formula>0</formula>
    </cfRule>
  </conditionalFormatting>
  <conditionalFormatting sqref="C2:I2">
    <cfRule type="cellIs" dxfId="13" priority="31" operator="equal">
      <formula>0</formula>
    </cfRule>
  </conditionalFormatting>
  <conditionalFormatting sqref="O10">
    <cfRule type="cellIs" dxfId="12" priority="30" operator="equal">
      <formula>"20__. gada __. _________"</formula>
    </cfRule>
  </conditionalFormatting>
  <conditionalFormatting sqref="L64:P64">
    <cfRule type="cellIs" dxfId="11" priority="24" operator="equal">
      <formula>0</formula>
    </cfRule>
  </conditionalFormatting>
  <conditionalFormatting sqref="C4:I4">
    <cfRule type="cellIs" dxfId="10" priority="23" operator="equal">
      <formula>0</formula>
    </cfRule>
  </conditionalFormatting>
  <conditionalFormatting sqref="D5:L8">
    <cfRule type="cellIs" dxfId="9" priority="19" operator="equal">
      <formula>0</formula>
    </cfRule>
  </conditionalFormatting>
  <conditionalFormatting sqref="P10">
    <cfRule type="cellIs" dxfId="8" priority="15" operator="equal">
      <formula>"20__. gada __. _________"</formula>
    </cfRule>
  </conditionalFormatting>
  <conditionalFormatting sqref="C72:H72">
    <cfRule type="cellIs" dxfId="7" priority="12" operator="equal">
      <formula>0</formula>
    </cfRule>
  </conditionalFormatting>
  <conditionalFormatting sqref="C67:H67">
    <cfRule type="cellIs" dxfId="6" priority="11" operator="equal">
      <formula>0</formula>
    </cfRule>
  </conditionalFormatting>
  <conditionalFormatting sqref="C72:H72 C75 C67:H67">
    <cfRule type="cellIs" dxfId="5" priority="10" operator="equal">
      <formula>0</formula>
    </cfRule>
  </conditionalFormatting>
  <conditionalFormatting sqref="D1">
    <cfRule type="cellIs" dxfId="4" priority="9" operator="equal">
      <formula>0</formula>
    </cfRule>
  </conditionalFormatting>
  <conditionalFormatting sqref="A9:F9">
    <cfRule type="containsText" dxfId="3" priority="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64:K64">
    <cfRule type="containsText" dxfId="2" priority="7" operator="containsText" text="Tiešās izmaksas kopā, t. sk. darba devēja sociālais nodoklis __.__% ">
      <formula>NOT(ISERROR(SEARCH("Tiešās izmaksas kopā, t. sk. darba devēja sociālais nodoklis __.__% ",A64)))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9C848299-F747-4D4C-BE47-58A1BBDB8A5B}">
            <xm:f>NOT(ISERROR(SEARCH("Tāme sastādīta ____. gada ___. ______________",A70)))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A70</xm:sqref>
        </x14:conditionalFormatting>
        <x14:conditionalFormatting xmlns:xm="http://schemas.microsoft.com/office/excel/2006/main">
          <x14:cfRule type="containsText" priority="13" operator="containsText" id="{1A9581D5-9790-4D5D-94E5-4E7B8C258AD0}">
            <xm:f>NOT(ISERROR(SEARCH("Sertifikāta Nr. _________________________________",A75)))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51"/>
  <sheetViews>
    <sheetView view="pageLayout" zoomScaleNormal="100" workbookViewId="0">
      <selection activeCell="C34" sqref="C34:H34"/>
    </sheetView>
  </sheetViews>
  <sheetFormatPr defaultColWidth="3.7109375" defaultRowHeight="11.25" x14ac:dyDescent="0.2"/>
  <cols>
    <col min="1" max="1" width="4" style="39" customWidth="1"/>
    <col min="2" max="2" width="5.28515625" style="39" customWidth="1"/>
    <col min="3" max="3" width="14.7109375" style="39" customWidth="1"/>
    <col min="4" max="4" width="6.85546875" style="39" customWidth="1"/>
    <col min="5" max="5" width="11.85546875" style="39" customWidth="1"/>
    <col min="6" max="6" width="9.85546875" style="39" customWidth="1"/>
    <col min="7" max="7" width="10" style="39" customWidth="1"/>
    <col min="8" max="8" width="8.7109375" style="39" customWidth="1"/>
    <col min="9" max="188" width="9.140625" style="39" customWidth="1"/>
    <col min="189" max="189" width="3.7109375" style="39"/>
    <col min="190" max="190" width="4.5703125" style="39" customWidth="1"/>
    <col min="191" max="191" width="5.85546875" style="39" customWidth="1"/>
    <col min="192" max="192" width="36" style="39" customWidth="1"/>
    <col min="193" max="193" width="9.7109375" style="39" customWidth="1"/>
    <col min="194" max="194" width="11.85546875" style="39" customWidth="1"/>
    <col min="195" max="195" width="9" style="39" customWidth="1"/>
    <col min="196" max="196" width="9.7109375" style="39" customWidth="1"/>
    <col min="197" max="197" width="9.28515625" style="39" customWidth="1"/>
    <col min="198" max="198" width="8.7109375" style="39" customWidth="1"/>
    <col min="199" max="199" width="6.85546875" style="39" customWidth="1"/>
    <col min="200" max="444" width="9.140625" style="39" customWidth="1"/>
    <col min="445" max="445" width="3.7109375" style="39"/>
    <col min="446" max="446" width="4.5703125" style="39" customWidth="1"/>
    <col min="447" max="447" width="5.85546875" style="39" customWidth="1"/>
    <col min="448" max="448" width="36" style="39" customWidth="1"/>
    <col min="449" max="449" width="9.7109375" style="39" customWidth="1"/>
    <col min="450" max="450" width="11.85546875" style="39" customWidth="1"/>
    <col min="451" max="451" width="9" style="39" customWidth="1"/>
    <col min="452" max="452" width="9.7109375" style="39" customWidth="1"/>
    <col min="453" max="453" width="9.28515625" style="39" customWidth="1"/>
    <col min="454" max="454" width="8.7109375" style="39" customWidth="1"/>
    <col min="455" max="455" width="6.85546875" style="39" customWidth="1"/>
    <col min="456" max="700" width="9.140625" style="39" customWidth="1"/>
    <col min="701" max="701" width="3.7109375" style="39"/>
    <col min="702" max="702" width="4.5703125" style="39" customWidth="1"/>
    <col min="703" max="703" width="5.85546875" style="39" customWidth="1"/>
    <col min="704" max="704" width="36" style="39" customWidth="1"/>
    <col min="705" max="705" width="9.7109375" style="39" customWidth="1"/>
    <col min="706" max="706" width="11.85546875" style="39" customWidth="1"/>
    <col min="707" max="707" width="9" style="39" customWidth="1"/>
    <col min="708" max="708" width="9.7109375" style="39" customWidth="1"/>
    <col min="709" max="709" width="9.28515625" style="39" customWidth="1"/>
    <col min="710" max="710" width="8.7109375" style="39" customWidth="1"/>
    <col min="711" max="711" width="6.85546875" style="39" customWidth="1"/>
    <col min="712" max="956" width="9.140625" style="39" customWidth="1"/>
    <col min="957" max="957" width="3.7109375" style="39"/>
    <col min="958" max="958" width="4.5703125" style="39" customWidth="1"/>
    <col min="959" max="959" width="5.85546875" style="39" customWidth="1"/>
    <col min="960" max="960" width="36" style="39" customWidth="1"/>
    <col min="961" max="961" width="9.7109375" style="39" customWidth="1"/>
    <col min="962" max="962" width="11.85546875" style="39" customWidth="1"/>
    <col min="963" max="963" width="9" style="39" customWidth="1"/>
    <col min="964" max="964" width="9.7109375" style="39" customWidth="1"/>
    <col min="965" max="965" width="9.28515625" style="39" customWidth="1"/>
    <col min="966" max="966" width="8.7109375" style="39" customWidth="1"/>
    <col min="967" max="967" width="6.85546875" style="39" customWidth="1"/>
    <col min="968" max="1212" width="9.140625" style="39" customWidth="1"/>
    <col min="1213" max="1213" width="3.7109375" style="39"/>
    <col min="1214" max="1214" width="4.5703125" style="39" customWidth="1"/>
    <col min="1215" max="1215" width="5.85546875" style="39" customWidth="1"/>
    <col min="1216" max="1216" width="36" style="39" customWidth="1"/>
    <col min="1217" max="1217" width="9.7109375" style="39" customWidth="1"/>
    <col min="1218" max="1218" width="11.85546875" style="39" customWidth="1"/>
    <col min="1219" max="1219" width="9" style="39" customWidth="1"/>
    <col min="1220" max="1220" width="9.7109375" style="39" customWidth="1"/>
    <col min="1221" max="1221" width="9.28515625" style="39" customWidth="1"/>
    <col min="1222" max="1222" width="8.7109375" style="39" customWidth="1"/>
    <col min="1223" max="1223" width="6.85546875" style="39" customWidth="1"/>
    <col min="1224" max="1468" width="9.140625" style="39" customWidth="1"/>
    <col min="1469" max="1469" width="3.7109375" style="39"/>
    <col min="1470" max="1470" width="4.5703125" style="39" customWidth="1"/>
    <col min="1471" max="1471" width="5.85546875" style="39" customWidth="1"/>
    <col min="1472" max="1472" width="36" style="39" customWidth="1"/>
    <col min="1473" max="1473" width="9.7109375" style="39" customWidth="1"/>
    <col min="1474" max="1474" width="11.85546875" style="39" customWidth="1"/>
    <col min="1475" max="1475" width="9" style="39" customWidth="1"/>
    <col min="1476" max="1476" width="9.7109375" style="39" customWidth="1"/>
    <col min="1477" max="1477" width="9.28515625" style="39" customWidth="1"/>
    <col min="1478" max="1478" width="8.7109375" style="39" customWidth="1"/>
    <col min="1479" max="1479" width="6.85546875" style="39" customWidth="1"/>
    <col min="1480" max="1724" width="9.140625" style="39" customWidth="1"/>
    <col min="1725" max="1725" width="3.7109375" style="39"/>
    <col min="1726" max="1726" width="4.5703125" style="39" customWidth="1"/>
    <col min="1727" max="1727" width="5.85546875" style="39" customWidth="1"/>
    <col min="1728" max="1728" width="36" style="39" customWidth="1"/>
    <col min="1729" max="1729" width="9.7109375" style="39" customWidth="1"/>
    <col min="1730" max="1730" width="11.85546875" style="39" customWidth="1"/>
    <col min="1731" max="1731" width="9" style="39" customWidth="1"/>
    <col min="1732" max="1732" width="9.7109375" style="39" customWidth="1"/>
    <col min="1733" max="1733" width="9.28515625" style="39" customWidth="1"/>
    <col min="1734" max="1734" width="8.7109375" style="39" customWidth="1"/>
    <col min="1735" max="1735" width="6.85546875" style="39" customWidth="1"/>
    <col min="1736" max="1980" width="9.140625" style="39" customWidth="1"/>
    <col min="1981" max="1981" width="3.7109375" style="39"/>
    <col min="1982" max="1982" width="4.5703125" style="39" customWidth="1"/>
    <col min="1983" max="1983" width="5.85546875" style="39" customWidth="1"/>
    <col min="1984" max="1984" width="36" style="39" customWidth="1"/>
    <col min="1985" max="1985" width="9.7109375" style="39" customWidth="1"/>
    <col min="1986" max="1986" width="11.85546875" style="39" customWidth="1"/>
    <col min="1987" max="1987" width="9" style="39" customWidth="1"/>
    <col min="1988" max="1988" width="9.7109375" style="39" customWidth="1"/>
    <col min="1989" max="1989" width="9.28515625" style="39" customWidth="1"/>
    <col min="1990" max="1990" width="8.7109375" style="39" customWidth="1"/>
    <col min="1991" max="1991" width="6.85546875" style="39" customWidth="1"/>
    <col min="1992" max="2236" width="9.140625" style="39" customWidth="1"/>
    <col min="2237" max="2237" width="3.7109375" style="39"/>
    <col min="2238" max="2238" width="4.5703125" style="39" customWidth="1"/>
    <col min="2239" max="2239" width="5.85546875" style="39" customWidth="1"/>
    <col min="2240" max="2240" width="36" style="39" customWidth="1"/>
    <col min="2241" max="2241" width="9.7109375" style="39" customWidth="1"/>
    <col min="2242" max="2242" width="11.85546875" style="39" customWidth="1"/>
    <col min="2243" max="2243" width="9" style="39" customWidth="1"/>
    <col min="2244" max="2244" width="9.7109375" style="39" customWidth="1"/>
    <col min="2245" max="2245" width="9.28515625" style="39" customWidth="1"/>
    <col min="2246" max="2246" width="8.7109375" style="39" customWidth="1"/>
    <col min="2247" max="2247" width="6.85546875" style="39" customWidth="1"/>
    <col min="2248" max="2492" width="9.140625" style="39" customWidth="1"/>
    <col min="2493" max="2493" width="3.7109375" style="39"/>
    <col min="2494" max="2494" width="4.5703125" style="39" customWidth="1"/>
    <col min="2495" max="2495" width="5.85546875" style="39" customWidth="1"/>
    <col min="2496" max="2496" width="36" style="39" customWidth="1"/>
    <col min="2497" max="2497" width="9.7109375" style="39" customWidth="1"/>
    <col min="2498" max="2498" width="11.85546875" style="39" customWidth="1"/>
    <col min="2499" max="2499" width="9" style="39" customWidth="1"/>
    <col min="2500" max="2500" width="9.7109375" style="39" customWidth="1"/>
    <col min="2501" max="2501" width="9.28515625" style="39" customWidth="1"/>
    <col min="2502" max="2502" width="8.7109375" style="39" customWidth="1"/>
    <col min="2503" max="2503" width="6.85546875" style="39" customWidth="1"/>
    <col min="2504" max="2748" width="9.140625" style="39" customWidth="1"/>
    <col min="2749" max="2749" width="3.7109375" style="39"/>
    <col min="2750" max="2750" width="4.5703125" style="39" customWidth="1"/>
    <col min="2751" max="2751" width="5.85546875" style="39" customWidth="1"/>
    <col min="2752" max="2752" width="36" style="39" customWidth="1"/>
    <col min="2753" max="2753" width="9.7109375" style="39" customWidth="1"/>
    <col min="2754" max="2754" width="11.85546875" style="39" customWidth="1"/>
    <col min="2755" max="2755" width="9" style="39" customWidth="1"/>
    <col min="2756" max="2756" width="9.7109375" style="39" customWidth="1"/>
    <col min="2757" max="2757" width="9.28515625" style="39" customWidth="1"/>
    <col min="2758" max="2758" width="8.7109375" style="39" customWidth="1"/>
    <col min="2759" max="2759" width="6.85546875" style="39" customWidth="1"/>
    <col min="2760" max="3004" width="9.140625" style="39" customWidth="1"/>
    <col min="3005" max="3005" width="3.7109375" style="39"/>
    <col min="3006" max="3006" width="4.5703125" style="39" customWidth="1"/>
    <col min="3007" max="3007" width="5.85546875" style="39" customWidth="1"/>
    <col min="3008" max="3008" width="36" style="39" customWidth="1"/>
    <col min="3009" max="3009" width="9.7109375" style="39" customWidth="1"/>
    <col min="3010" max="3010" width="11.85546875" style="39" customWidth="1"/>
    <col min="3011" max="3011" width="9" style="39" customWidth="1"/>
    <col min="3012" max="3012" width="9.7109375" style="39" customWidth="1"/>
    <col min="3013" max="3013" width="9.28515625" style="39" customWidth="1"/>
    <col min="3014" max="3014" width="8.7109375" style="39" customWidth="1"/>
    <col min="3015" max="3015" width="6.85546875" style="39" customWidth="1"/>
    <col min="3016" max="3260" width="9.140625" style="39" customWidth="1"/>
    <col min="3261" max="3261" width="3.7109375" style="39"/>
    <col min="3262" max="3262" width="4.5703125" style="39" customWidth="1"/>
    <col min="3263" max="3263" width="5.85546875" style="39" customWidth="1"/>
    <col min="3264" max="3264" width="36" style="39" customWidth="1"/>
    <col min="3265" max="3265" width="9.7109375" style="39" customWidth="1"/>
    <col min="3266" max="3266" width="11.85546875" style="39" customWidth="1"/>
    <col min="3267" max="3267" width="9" style="39" customWidth="1"/>
    <col min="3268" max="3268" width="9.7109375" style="39" customWidth="1"/>
    <col min="3269" max="3269" width="9.28515625" style="39" customWidth="1"/>
    <col min="3270" max="3270" width="8.7109375" style="39" customWidth="1"/>
    <col min="3271" max="3271" width="6.85546875" style="39" customWidth="1"/>
    <col min="3272" max="3516" width="9.140625" style="39" customWidth="1"/>
    <col min="3517" max="3517" width="3.7109375" style="39"/>
    <col min="3518" max="3518" width="4.5703125" style="39" customWidth="1"/>
    <col min="3519" max="3519" width="5.85546875" style="39" customWidth="1"/>
    <col min="3520" max="3520" width="36" style="39" customWidth="1"/>
    <col min="3521" max="3521" width="9.7109375" style="39" customWidth="1"/>
    <col min="3522" max="3522" width="11.85546875" style="39" customWidth="1"/>
    <col min="3523" max="3523" width="9" style="39" customWidth="1"/>
    <col min="3524" max="3524" width="9.7109375" style="39" customWidth="1"/>
    <col min="3525" max="3525" width="9.28515625" style="39" customWidth="1"/>
    <col min="3526" max="3526" width="8.7109375" style="39" customWidth="1"/>
    <col min="3527" max="3527" width="6.85546875" style="39" customWidth="1"/>
    <col min="3528" max="3772" width="9.140625" style="39" customWidth="1"/>
    <col min="3773" max="3773" width="3.7109375" style="39"/>
    <col min="3774" max="3774" width="4.5703125" style="39" customWidth="1"/>
    <col min="3775" max="3775" width="5.85546875" style="39" customWidth="1"/>
    <col min="3776" max="3776" width="36" style="39" customWidth="1"/>
    <col min="3777" max="3777" width="9.7109375" style="39" customWidth="1"/>
    <col min="3778" max="3778" width="11.85546875" style="39" customWidth="1"/>
    <col min="3779" max="3779" width="9" style="39" customWidth="1"/>
    <col min="3780" max="3780" width="9.7109375" style="39" customWidth="1"/>
    <col min="3781" max="3781" width="9.28515625" style="39" customWidth="1"/>
    <col min="3782" max="3782" width="8.7109375" style="39" customWidth="1"/>
    <col min="3783" max="3783" width="6.85546875" style="39" customWidth="1"/>
    <col min="3784" max="4028" width="9.140625" style="39" customWidth="1"/>
    <col min="4029" max="4029" width="3.7109375" style="39"/>
    <col min="4030" max="4030" width="4.5703125" style="39" customWidth="1"/>
    <col min="4031" max="4031" width="5.85546875" style="39" customWidth="1"/>
    <col min="4032" max="4032" width="36" style="39" customWidth="1"/>
    <col min="4033" max="4033" width="9.7109375" style="39" customWidth="1"/>
    <col min="4034" max="4034" width="11.85546875" style="39" customWidth="1"/>
    <col min="4035" max="4035" width="9" style="39" customWidth="1"/>
    <col min="4036" max="4036" width="9.7109375" style="39" customWidth="1"/>
    <col min="4037" max="4037" width="9.28515625" style="39" customWidth="1"/>
    <col min="4038" max="4038" width="8.7109375" style="39" customWidth="1"/>
    <col min="4039" max="4039" width="6.85546875" style="39" customWidth="1"/>
    <col min="4040" max="4284" width="9.140625" style="39" customWidth="1"/>
    <col min="4285" max="4285" width="3.7109375" style="39"/>
    <col min="4286" max="4286" width="4.5703125" style="39" customWidth="1"/>
    <col min="4287" max="4287" width="5.85546875" style="39" customWidth="1"/>
    <col min="4288" max="4288" width="36" style="39" customWidth="1"/>
    <col min="4289" max="4289" width="9.7109375" style="39" customWidth="1"/>
    <col min="4290" max="4290" width="11.85546875" style="39" customWidth="1"/>
    <col min="4291" max="4291" width="9" style="39" customWidth="1"/>
    <col min="4292" max="4292" width="9.7109375" style="39" customWidth="1"/>
    <col min="4293" max="4293" width="9.28515625" style="39" customWidth="1"/>
    <col min="4294" max="4294" width="8.7109375" style="39" customWidth="1"/>
    <col min="4295" max="4295" width="6.85546875" style="39" customWidth="1"/>
    <col min="4296" max="4540" width="9.140625" style="39" customWidth="1"/>
    <col min="4541" max="4541" width="3.7109375" style="39"/>
    <col min="4542" max="4542" width="4.5703125" style="39" customWidth="1"/>
    <col min="4543" max="4543" width="5.85546875" style="39" customWidth="1"/>
    <col min="4544" max="4544" width="36" style="39" customWidth="1"/>
    <col min="4545" max="4545" width="9.7109375" style="39" customWidth="1"/>
    <col min="4546" max="4546" width="11.85546875" style="39" customWidth="1"/>
    <col min="4547" max="4547" width="9" style="39" customWidth="1"/>
    <col min="4548" max="4548" width="9.7109375" style="39" customWidth="1"/>
    <col min="4549" max="4549" width="9.28515625" style="39" customWidth="1"/>
    <col min="4550" max="4550" width="8.7109375" style="39" customWidth="1"/>
    <col min="4551" max="4551" width="6.85546875" style="39" customWidth="1"/>
    <col min="4552" max="4796" width="9.140625" style="39" customWidth="1"/>
    <col min="4797" max="4797" width="3.7109375" style="39"/>
    <col min="4798" max="4798" width="4.5703125" style="39" customWidth="1"/>
    <col min="4799" max="4799" width="5.85546875" style="39" customWidth="1"/>
    <col min="4800" max="4800" width="36" style="39" customWidth="1"/>
    <col min="4801" max="4801" width="9.7109375" style="39" customWidth="1"/>
    <col min="4802" max="4802" width="11.85546875" style="39" customWidth="1"/>
    <col min="4803" max="4803" width="9" style="39" customWidth="1"/>
    <col min="4804" max="4804" width="9.7109375" style="39" customWidth="1"/>
    <col min="4805" max="4805" width="9.28515625" style="39" customWidth="1"/>
    <col min="4806" max="4806" width="8.7109375" style="39" customWidth="1"/>
    <col min="4807" max="4807" width="6.85546875" style="39" customWidth="1"/>
    <col min="4808" max="5052" width="9.140625" style="39" customWidth="1"/>
    <col min="5053" max="5053" width="3.7109375" style="39"/>
    <col min="5054" max="5054" width="4.5703125" style="39" customWidth="1"/>
    <col min="5055" max="5055" width="5.85546875" style="39" customWidth="1"/>
    <col min="5056" max="5056" width="36" style="39" customWidth="1"/>
    <col min="5057" max="5057" width="9.7109375" style="39" customWidth="1"/>
    <col min="5058" max="5058" width="11.85546875" style="39" customWidth="1"/>
    <col min="5059" max="5059" width="9" style="39" customWidth="1"/>
    <col min="5060" max="5060" width="9.7109375" style="39" customWidth="1"/>
    <col min="5061" max="5061" width="9.28515625" style="39" customWidth="1"/>
    <col min="5062" max="5062" width="8.7109375" style="39" customWidth="1"/>
    <col min="5063" max="5063" width="6.85546875" style="39" customWidth="1"/>
    <col min="5064" max="5308" width="9.140625" style="39" customWidth="1"/>
    <col min="5309" max="5309" width="3.7109375" style="39"/>
    <col min="5310" max="5310" width="4.5703125" style="39" customWidth="1"/>
    <col min="5311" max="5311" width="5.85546875" style="39" customWidth="1"/>
    <col min="5312" max="5312" width="36" style="39" customWidth="1"/>
    <col min="5313" max="5313" width="9.7109375" style="39" customWidth="1"/>
    <col min="5314" max="5314" width="11.85546875" style="39" customWidth="1"/>
    <col min="5315" max="5315" width="9" style="39" customWidth="1"/>
    <col min="5316" max="5316" width="9.7109375" style="39" customWidth="1"/>
    <col min="5317" max="5317" width="9.28515625" style="39" customWidth="1"/>
    <col min="5318" max="5318" width="8.7109375" style="39" customWidth="1"/>
    <col min="5319" max="5319" width="6.85546875" style="39" customWidth="1"/>
    <col min="5320" max="5564" width="9.140625" style="39" customWidth="1"/>
    <col min="5565" max="5565" width="3.7109375" style="39"/>
    <col min="5566" max="5566" width="4.5703125" style="39" customWidth="1"/>
    <col min="5567" max="5567" width="5.85546875" style="39" customWidth="1"/>
    <col min="5568" max="5568" width="36" style="39" customWidth="1"/>
    <col min="5569" max="5569" width="9.7109375" style="39" customWidth="1"/>
    <col min="5570" max="5570" width="11.85546875" style="39" customWidth="1"/>
    <col min="5571" max="5571" width="9" style="39" customWidth="1"/>
    <col min="5572" max="5572" width="9.7109375" style="39" customWidth="1"/>
    <col min="5573" max="5573" width="9.28515625" style="39" customWidth="1"/>
    <col min="5574" max="5574" width="8.7109375" style="39" customWidth="1"/>
    <col min="5575" max="5575" width="6.85546875" style="39" customWidth="1"/>
    <col min="5576" max="5820" width="9.140625" style="39" customWidth="1"/>
    <col min="5821" max="5821" width="3.7109375" style="39"/>
    <col min="5822" max="5822" width="4.5703125" style="39" customWidth="1"/>
    <col min="5823" max="5823" width="5.85546875" style="39" customWidth="1"/>
    <col min="5824" max="5824" width="36" style="39" customWidth="1"/>
    <col min="5825" max="5825" width="9.7109375" style="39" customWidth="1"/>
    <col min="5826" max="5826" width="11.85546875" style="39" customWidth="1"/>
    <col min="5827" max="5827" width="9" style="39" customWidth="1"/>
    <col min="5828" max="5828" width="9.7109375" style="39" customWidth="1"/>
    <col min="5829" max="5829" width="9.28515625" style="39" customWidth="1"/>
    <col min="5830" max="5830" width="8.7109375" style="39" customWidth="1"/>
    <col min="5831" max="5831" width="6.85546875" style="39" customWidth="1"/>
    <col min="5832" max="6076" width="9.140625" style="39" customWidth="1"/>
    <col min="6077" max="6077" width="3.7109375" style="39"/>
    <col min="6078" max="6078" width="4.5703125" style="39" customWidth="1"/>
    <col min="6079" max="6079" width="5.85546875" style="39" customWidth="1"/>
    <col min="6080" max="6080" width="36" style="39" customWidth="1"/>
    <col min="6081" max="6081" width="9.7109375" style="39" customWidth="1"/>
    <col min="6082" max="6082" width="11.85546875" style="39" customWidth="1"/>
    <col min="6083" max="6083" width="9" style="39" customWidth="1"/>
    <col min="6084" max="6084" width="9.7109375" style="39" customWidth="1"/>
    <col min="6085" max="6085" width="9.28515625" style="39" customWidth="1"/>
    <col min="6086" max="6086" width="8.7109375" style="39" customWidth="1"/>
    <col min="6087" max="6087" width="6.85546875" style="39" customWidth="1"/>
    <col min="6088" max="6332" width="9.140625" style="39" customWidth="1"/>
    <col min="6333" max="6333" width="3.7109375" style="39"/>
    <col min="6334" max="6334" width="4.5703125" style="39" customWidth="1"/>
    <col min="6335" max="6335" width="5.85546875" style="39" customWidth="1"/>
    <col min="6336" max="6336" width="36" style="39" customWidth="1"/>
    <col min="6337" max="6337" width="9.7109375" style="39" customWidth="1"/>
    <col min="6338" max="6338" width="11.85546875" style="39" customWidth="1"/>
    <col min="6339" max="6339" width="9" style="39" customWidth="1"/>
    <col min="6340" max="6340" width="9.7109375" style="39" customWidth="1"/>
    <col min="6341" max="6341" width="9.28515625" style="39" customWidth="1"/>
    <col min="6342" max="6342" width="8.7109375" style="39" customWidth="1"/>
    <col min="6343" max="6343" width="6.85546875" style="39" customWidth="1"/>
    <col min="6344" max="6588" width="9.140625" style="39" customWidth="1"/>
    <col min="6589" max="6589" width="3.7109375" style="39"/>
    <col min="6590" max="6590" width="4.5703125" style="39" customWidth="1"/>
    <col min="6591" max="6591" width="5.85546875" style="39" customWidth="1"/>
    <col min="6592" max="6592" width="36" style="39" customWidth="1"/>
    <col min="6593" max="6593" width="9.7109375" style="39" customWidth="1"/>
    <col min="6594" max="6594" width="11.85546875" style="39" customWidth="1"/>
    <col min="6595" max="6595" width="9" style="39" customWidth="1"/>
    <col min="6596" max="6596" width="9.7109375" style="39" customWidth="1"/>
    <col min="6597" max="6597" width="9.28515625" style="39" customWidth="1"/>
    <col min="6598" max="6598" width="8.7109375" style="39" customWidth="1"/>
    <col min="6599" max="6599" width="6.85546875" style="39" customWidth="1"/>
    <col min="6600" max="6844" width="9.140625" style="39" customWidth="1"/>
    <col min="6845" max="6845" width="3.7109375" style="39"/>
    <col min="6846" max="6846" width="4.5703125" style="39" customWidth="1"/>
    <col min="6847" max="6847" width="5.85546875" style="39" customWidth="1"/>
    <col min="6848" max="6848" width="36" style="39" customWidth="1"/>
    <col min="6849" max="6849" width="9.7109375" style="39" customWidth="1"/>
    <col min="6850" max="6850" width="11.85546875" style="39" customWidth="1"/>
    <col min="6851" max="6851" width="9" style="39" customWidth="1"/>
    <col min="6852" max="6852" width="9.7109375" style="39" customWidth="1"/>
    <col min="6853" max="6853" width="9.28515625" style="39" customWidth="1"/>
    <col min="6854" max="6854" width="8.7109375" style="39" customWidth="1"/>
    <col min="6855" max="6855" width="6.85546875" style="39" customWidth="1"/>
    <col min="6856" max="7100" width="9.140625" style="39" customWidth="1"/>
    <col min="7101" max="7101" width="3.7109375" style="39"/>
    <col min="7102" max="7102" width="4.5703125" style="39" customWidth="1"/>
    <col min="7103" max="7103" width="5.85546875" style="39" customWidth="1"/>
    <col min="7104" max="7104" width="36" style="39" customWidth="1"/>
    <col min="7105" max="7105" width="9.7109375" style="39" customWidth="1"/>
    <col min="7106" max="7106" width="11.85546875" style="39" customWidth="1"/>
    <col min="7107" max="7107" width="9" style="39" customWidth="1"/>
    <col min="7108" max="7108" width="9.7109375" style="39" customWidth="1"/>
    <col min="7109" max="7109" width="9.28515625" style="39" customWidth="1"/>
    <col min="7110" max="7110" width="8.7109375" style="39" customWidth="1"/>
    <col min="7111" max="7111" width="6.85546875" style="39" customWidth="1"/>
    <col min="7112" max="7356" width="9.140625" style="39" customWidth="1"/>
    <col min="7357" max="7357" width="3.7109375" style="39"/>
    <col min="7358" max="7358" width="4.5703125" style="39" customWidth="1"/>
    <col min="7359" max="7359" width="5.85546875" style="39" customWidth="1"/>
    <col min="7360" max="7360" width="36" style="39" customWidth="1"/>
    <col min="7361" max="7361" width="9.7109375" style="39" customWidth="1"/>
    <col min="7362" max="7362" width="11.85546875" style="39" customWidth="1"/>
    <col min="7363" max="7363" width="9" style="39" customWidth="1"/>
    <col min="7364" max="7364" width="9.7109375" style="39" customWidth="1"/>
    <col min="7365" max="7365" width="9.28515625" style="39" customWidth="1"/>
    <col min="7366" max="7366" width="8.7109375" style="39" customWidth="1"/>
    <col min="7367" max="7367" width="6.85546875" style="39" customWidth="1"/>
    <col min="7368" max="7612" width="9.140625" style="39" customWidth="1"/>
    <col min="7613" max="7613" width="3.7109375" style="39"/>
    <col min="7614" max="7614" width="4.5703125" style="39" customWidth="1"/>
    <col min="7615" max="7615" width="5.85546875" style="39" customWidth="1"/>
    <col min="7616" max="7616" width="36" style="39" customWidth="1"/>
    <col min="7617" max="7617" width="9.7109375" style="39" customWidth="1"/>
    <col min="7618" max="7618" width="11.85546875" style="39" customWidth="1"/>
    <col min="7619" max="7619" width="9" style="39" customWidth="1"/>
    <col min="7620" max="7620" width="9.7109375" style="39" customWidth="1"/>
    <col min="7621" max="7621" width="9.28515625" style="39" customWidth="1"/>
    <col min="7622" max="7622" width="8.7109375" style="39" customWidth="1"/>
    <col min="7623" max="7623" width="6.85546875" style="39" customWidth="1"/>
    <col min="7624" max="7868" width="9.140625" style="39" customWidth="1"/>
    <col min="7869" max="7869" width="3.7109375" style="39"/>
    <col min="7870" max="7870" width="4.5703125" style="39" customWidth="1"/>
    <col min="7871" max="7871" width="5.85546875" style="39" customWidth="1"/>
    <col min="7872" max="7872" width="36" style="39" customWidth="1"/>
    <col min="7873" max="7873" width="9.7109375" style="39" customWidth="1"/>
    <col min="7874" max="7874" width="11.85546875" style="39" customWidth="1"/>
    <col min="7875" max="7875" width="9" style="39" customWidth="1"/>
    <col min="7876" max="7876" width="9.7109375" style="39" customWidth="1"/>
    <col min="7877" max="7877" width="9.28515625" style="39" customWidth="1"/>
    <col min="7878" max="7878" width="8.7109375" style="39" customWidth="1"/>
    <col min="7879" max="7879" width="6.85546875" style="39" customWidth="1"/>
    <col min="7880" max="8124" width="9.140625" style="39" customWidth="1"/>
    <col min="8125" max="8125" width="3.7109375" style="39"/>
    <col min="8126" max="8126" width="4.5703125" style="39" customWidth="1"/>
    <col min="8127" max="8127" width="5.85546875" style="39" customWidth="1"/>
    <col min="8128" max="8128" width="36" style="39" customWidth="1"/>
    <col min="8129" max="8129" width="9.7109375" style="39" customWidth="1"/>
    <col min="8130" max="8130" width="11.85546875" style="39" customWidth="1"/>
    <col min="8131" max="8131" width="9" style="39" customWidth="1"/>
    <col min="8132" max="8132" width="9.7109375" style="39" customWidth="1"/>
    <col min="8133" max="8133" width="9.28515625" style="39" customWidth="1"/>
    <col min="8134" max="8134" width="8.7109375" style="39" customWidth="1"/>
    <col min="8135" max="8135" width="6.85546875" style="39" customWidth="1"/>
    <col min="8136" max="8380" width="9.140625" style="39" customWidth="1"/>
    <col min="8381" max="8381" width="3.7109375" style="39"/>
    <col min="8382" max="8382" width="4.5703125" style="39" customWidth="1"/>
    <col min="8383" max="8383" width="5.85546875" style="39" customWidth="1"/>
    <col min="8384" max="8384" width="36" style="39" customWidth="1"/>
    <col min="8385" max="8385" width="9.7109375" style="39" customWidth="1"/>
    <col min="8386" max="8386" width="11.85546875" style="39" customWidth="1"/>
    <col min="8387" max="8387" width="9" style="39" customWidth="1"/>
    <col min="8388" max="8388" width="9.7109375" style="39" customWidth="1"/>
    <col min="8389" max="8389" width="9.28515625" style="39" customWidth="1"/>
    <col min="8390" max="8390" width="8.7109375" style="39" customWidth="1"/>
    <col min="8391" max="8391" width="6.85546875" style="39" customWidth="1"/>
    <col min="8392" max="8636" width="9.140625" style="39" customWidth="1"/>
    <col min="8637" max="8637" width="3.7109375" style="39"/>
    <col min="8638" max="8638" width="4.5703125" style="39" customWidth="1"/>
    <col min="8639" max="8639" width="5.85546875" style="39" customWidth="1"/>
    <col min="8640" max="8640" width="36" style="39" customWidth="1"/>
    <col min="8641" max="8641" width="9.7109375" style="39" customWidth="1"/>
    <col min="8642" max="8642" width="11.85546875" style="39" customWidth="1"/>
    <col min="8643" max="8643" width="9" style="39" customWidth="1"/>
    <col min="8644" max="8644" width="9.7109375" style="39" customWidth="1"/>
    <col min="8645" max="8645" width="9.28515625" style="39" customWidth="1"/>
    <col min="8646" max="8646" width="8.7109375" style="39" customWidth="1"/>
    <col min="8647" max="8647" width="6.85546875" style="39" customWidth="1"/>
    <col min="8648" max="8892" width="9.140625" style="39" customWidth="1"/>
    <col min="8893" max="8893" width="3.7109375" style="39"/>
    <col min="8894" max="8894" width="4.5703125" style="39" customWidth="1"/>
    <col min="8895" max="8895" width="5.85546875" style="39" customWidth="1"/>
    <col min="8896" max="8896" width="36" style="39" customWidth="1"/>
    <col min="8897" max="8897" width="9.7109375" style="39" customWidth="1"/>
    <col min="8898" max="8898" width="11.85546875" style="39" customWidth="1"/>
    <col min="8899" max="8899" width="9" style="39" customWidth="1"/>
    <col min="8900" max="8900" width="9.7109375" style="39" customWidth="1"/>
    <col min="8901" max="8901" width="9.28515625" style="39" customWidth="1"/>
    <col min="8902" max="8902" width="8.7109375" style="39" customWidth="1"/>
    <col min="8903" max="8903" width="6.85546875" style="39" customWidth="1"/>
    <col min="8904" max="9148" width="9.140625" style="39" customWidth="1"/>
    <col min="9149" max="9149" width="3.7109375" style="39"/>
    <col min="9150" max="9150" width="4.5703125" style="39" customWidth="1"/>
    <col min="9151" max="9151" width="5.85546875" style="39" customWidth="1"/>
    <col min="9152" max="9152" width="36" style="39" customWidth="1"/>
    <col min="9153" max="9153" width="9.7109375" style="39" customWidth="1"/>
    <col min="9154" max="9154" width="11.85546875" style="39" customWidth="1"/>
    <col min="9155" max="9155" width="9" style="39" customWidth="1"/>
    <col min="9156" max="9156" width="9.7109375" style="39" customWidth="1"/>
    <col min="9157" max="9157" width="9.28515625" style="39" customWidth="1"/>
    <col min="9158" max="9158" width="8.7109375" style="39" customWidth="1"/>
    <col min="9159" max="9159" width="6.85546875" style="39" customWidth="1"/>
    <col min="9160" max="9404" width="9.140625" style="39" customWidth="1"/>
    <col min="9405" max="9405" width="3.7109375" style="39"/>
    <col min="9406" max="9406" width="4.5703125" style="39" customWidth="1"/>
    <col min="9407" max="9407" width="5.85546875" style="39" customWidth="1"/>
    <col min="9408" max="9408" width="36" style="39" customWidth="1"/>
    <col min="9409" max="9409" width="9.7109375" style="39" customWidth="1"/>
    <col min="9410" max="9410" width="11.85546875" style="39" customWidth="1"/>
    <col min="9411" max="9411" width="9" style="39" customWidth="1"/>
    <col min="9412" max="9412" width="9.7109375" style="39" customWidth="1"/>
    <col min="9413" max="9413" width="9.28515625" style="39" customWidth="1"/>
    <col min="9414" max="9414" width="8.7109375" style="39" customWidth="1"/>
    <col min="9415" max="9415" width="6.85546875" style="39" customWidth="1"/>
    <col min="9416" max="9660" width="9.140625" style="39" customWidth="1"/>
    <col min="9661" max="9661" width="3.7109375" style="39"/>
    <col min="9662" max="9662" width="4.5703125" style="39" customWidth="1"/>
    <col min="9663" max="9663" width="5.85546875" style="39" customWidth="1"/>
    <col min="9664" max="9664" width="36" style="39" customWidth="1"/>
    <col min="9665" max="9665" width="9.7109375" style="39" customWidth="1"/>
    <col min="9666" max="9666" width="11.85546875" style="39" customWidth="1"/>
    <col min="9667" max="9667" width="9" style="39" customWidth="1"/>
    <col min="9668" max="9668" width="9.7109375" style="39" customWidth="1"/>
    <col min="9669" max="9669" width="9.28515625" style="39" customWidth="1"/>
    <col min="9670" max="9670" width="8.7109375" style="39" customWidth="1"/>
    <col min="9671" max="9671" width="6.85546875" style="39" customWidth="1"/>
    <col min="9672" max="9916" width="9.140625" style="39" customWidth="1"/>
    <col min="9917" max="9917" width="3.7109375" style="39"/>
    <col min="9918" max="9918" width="4.5703125" style="39" customWidth="1"/>
    <col min="9919" max="9919" width="5.85546875" style="39" customWidth="1"/>
    <col min="9920" max="9920" width="36" style="39" customWidth="1"/>
    <col min="9921" max="9921" width="9.7109375" style="39" customWidth="1"/>
    <col min="9922" max="9922" width="11.85546875" style="39" customWidth="1"/>
    <col min="9923" max="9923" width="9" style="39" customWidth="1"/>
    <col min="9924" max="9924" width="9.7109375" style="39" customWidth="1"/>
    <col min="9925" max="9925" width="9.28515625" style="39" customWidth="1"/>
    <col min="9926" max="9926" width="8.7109375" style="39" customWidth="1"/>
    <col min="9927" max="9927" width="6.85546875" style="39" customWidth="1"/>
    <col min="9928" max="10172" width="9.140625" style="39" customWidth="1"/>
    <col min="10173" max="10173" width="3.7109375" style="39"/>
    <col min="10174" max="10174" width="4.5703125" style="39" customWidth="1"/>
    <col min="10175" max="10175" width="5.85546875" style="39" customWidth="1"/>
    <col min="10176" max="10176" width="36" style="39" customWidth="1"/>
    <col min="10177" max="10177" width="9.7109375" style="39" customWidth="1"/>
    <col min="10178" max="10178" width="11.85546875" style="39" customWidth="1"/>
    <col min="10179" max="10179" width="9" style="39" customWidth="1"/>
    <col min="10180" max="10180" width="9.7109375" style="39" customWidth="1"/>
    <col min="10181" max="10181" width="9.28515625" style="39" customWidth="1"/>
    <col min="10182" max="10182" width="8.7109375" style="39" customWidth="1"/>
    <col min="10183" max="10183" width="6.85546875" style="39" customWidth="1"/>
    <col min="10184" max="10428" width="9.140625" style="39" customWidth="1"/>
    <col min="10429" max="10429" width="3.7109375" style="39"/>
    <col min="10430" max="10430" width="4.5703125" style="39" customWidth="1"/>
    <col min="10431" max="10431" width="5.85546875" style="39" customWidth="1"/>
    <col min="10432" max="10432" width="36" style="39" customWidth="1"/>
    <col min="10433" max="10433" width="9.7109375" style="39" customWidth="1"/>
    <col min="10434" max="10434" width="11.85546875" style="39" customWidth="1"/>
    <col min="10435" max="10435" width="9" style="39" customWidth="1"/>
    <col min="10436" max="10436" width="9.7109375" style="39" customWidth="1"/>
    <col min="10437" max="10437" width="9.28515625" style="39" customWidth="1"/>
    <col min="10438" max="10438" width="8.7109375" style="39" customWidth="1"/>
    <col min="10439" max="10439" width="6.85546875" style="39" customWidth="1"/>
    <col min="10440" max="10684" width="9.140625" style="39" customWidth="1"/>
    <col min="10685" max="10685" width="3.7109375" style="39"/>
    <col min="10686" max="10686" width="4.5703125" style="39" customWidth="1"/>
    <col min="10687" max="10687" width="5.85546875" style="39" customWidth="1"/>
    <col min="10688" max="10688" width="36" style="39" customWidth="1"/>
    <col min="10689" max="10689" width="9.7109375" style="39" customWidth="1"/>
    <col min="10690" max="10690" width="11.85546875" style="39" customWidth="1"/>
    <col min="10691" max="10691" width="9" style="39" customWidth="1"/>
    <col min="10692" max="10692" width="9.7109375" style="39" customWidth="1"/>
    <col min="10693" max="10693" width="9.28515625" style="39" customWidth="1"/>
    <col min="10694" max="10694" width="8.7109375" style="39" customWidth="1"/>
    <col min="10695" max="10695" width="6.85546875" style="39" customWidth="1"/>
    <col min="10696" max="10940" width="9.140625" style="39" customWidth="1"/>
    <col min="10941" max="10941" width="3.7109375" style="39"/>
    <col min="10942" max="10942" width="4.5703125" style="39" customWidth="1"/>
    <col min="10943" max="10943" width="5.85546875" style="39" customWidth="1"/>
    <col min="10944" max="10944" width="36" style="39" customWidth="1"/>
    <col min="10945" max="10945" width="9.7109375" style="39" customWidth="1"/>
    <col min="10946" max="10946" width="11.85546875" style="39" customWidth="1"/>
    <col min="10947" max="10947" width="9" style="39" customWidth="1"/>
    <col min="10948" max="10948" width="9.7109375" style="39" customWidth="1"/>
    <col min="10949" max="10949" width="9.28515625" style="39" customWidth="1"/>
    <col min="10950" max="10950" width="8.7109375" style="39" customWidth="1"/>
    <col min="10951" max="10951" width="6.85546875" style="39" customWidth="1"/>
    <col min="10952" max="11196" width="9.140625" style="39" customWidth="1"/>
    <col min="11197" max="11197" width="3.7109375" style="39"/>
    <col min="11198" max="11198" width="4.5703125" style="39" customWidth="1"/>
    <col min="11199" max="11199" width="5.85546875" style="39" customWidth="1"/>
    <col min="11200" max="11200" width="36" style="39" customWidth="1"/>
    <col min="11201" max="11201" width="9.7109375" style="39" customWidth="1"/>
    <col min="11202" max="11202" width="11.85546875" style="39" customWidth="1"/>
    <col min="11203" max="11203" width="9" style="39" customWidth="1"/>
    <col min="11204" max="11204" width="9.7109375" style="39" customWidth="1"/>
    <col min="11205" max="11205" width="9.28515625" style="39" customWidth="1"/>
    <col min="11206" max="11206" width="8.7109375" style="39" customWidth="1"/>
    <col min="11207" max="11207" width="6.85546875" style="39" customWidth="1"/>
    <col min="11208" max="11452" width="9.140625" style="39" customWidth="1"/>
    <col min="11453" max="11453" width="3.7109375" style="39"/>
    <col min="11454" max="11454" width="4.5703125" style="39" customWidth="1"/>
    <col min="11455" max="11455" width="5.85546875" style="39" customWidth="1"/>
    <col min="11456" max="11456" width="36" style="39" customWidth="1"/>
    <col min="11457" max="11457" width="9.7109375" style="39" customWidth="1"/>
    <col min="11458" max="11458" width="11.85546875" style="39" customWidth="1"/>
    <col min="11459" max="11459" width="9" style="39" customWidth="1"/>
    <col min="11460" max="11460" width="9.7109375" style="39" customWidth="1"/>
    <col min="11461" max="11461" width="9.28515625" style="39" customWidth="1"/>
    <col min="11462" max="11462" width="8.7109375" style="39" customWidth="1"/>
    <col min="11463" max="11463" width="6.85546875" style="39" customWidth="1"/>
    <col min="11464" max="11708" width="9.140625" style="39" customWidth="1"/>
    <col min="11709" max="11709" width="3.7109375" style="39"/>
    <col min="11710" max="11710" width="4.5703125" style="39" customWidth="1"/>
    <col min="11711" max="11711" width="5.85546875" style="39" customWidth="1"/>
    <col min="11712" max="11712" width="36" style="39" customWidth="1"/>
    <col min="11713" max="11713" width="9.7109375" style="39" customWidth="1"/>
    <col min="11714" max="11714" width="11.85546875" style="39" customWidth="1"/>
    <col min="11715" max="11715" width="9" style="39" customWidth="1"/>
    <col min="11716" max="11716" width="9.7109375" style="39" customWidth="1"/>
    <col min="11717" max="11717" width="9.28515625" style="39" customWidth="1"/>
    <col min="11718" max="11718" width="8.7109375" style="39" customWidth="1"/>
    <col min="11719" max="11719" width="6.85546875" style="39" customWidth="1"/>
    <col min="11720" max="11964" width="9.140625" style="39" customWidth="1"/>
    <col min="11965" max="11965" width="3.7109375" style="39"/>
    <col min="11966" max="11966" width="4.5703125" style="39" customWidth="1"/>
    <col min="11967" max="11967" width="5.85546875" style="39" customWidth="1"/>
    <col min="11968" max="11968" width="36" style="39" customWidth="1"/>
    <col min="11969" max="11969" width="9.7109375" style="39" customWidth="1"/>
    <col min="11970" max="11970" width="11.85546875" style="39" customWidth="1"/>
    <col min="11971" max="11971" width="9" style="39" customWidth="1"/>
    <col min="11972" max="11972" width="9.7109375" style="39" customWidth="1"/>
    <col min="11973" max="11973" width="9.28515625" style="39" customWidth="1"/>
    <col min="11974" max="11974" width="8.7109375" style="39" customWidth="1"/>
    <col min="11975" max="11975" width="6.85546875" style="39" customWidth="1"/>
    <col min="11976" max="12220" width="9.140625" style="39" customWidth="1"/>
    <col min="12221" max="12221" width="3.7109375" style="39"/>
    <col min="12222" max="12222" width="4.5703125" style="39" customWidth="1"/>
    <col min="12223" max="12223" width="5.85546875" style="39" customWidth="1"/>
    <col min="12224" max="12224" width="36" style="39" customWidth="1"/>
    <col min="12225" max="12225" width="9.7109375" style="39" customWidth="1"/>
    <col min="12226" max="12226" width="11.85546875" style="39" customWidth="1"/>
    <col min="12227" max="12227" width="9" style="39" customWidth="1"/>
    <col min="12228" max="12228" width="9.7109375" style="39" customWidth="1"/>
    <col min="12229" max="12229" width="9.28515625" style="39" customWidth="1"/>
    <col min="12230" max="12230" width="8.7109375" style="39" customWidth="1"/>
    <col min="12231" max="12231" width="6.85546875" style="39" customWidth="1"/>
    <col min="12232" max="12476" width="9.140625" style="39" customWidth="1"/>
    <col min="12477" max="12477" width="3.7109375" style="39"/>
    <col min="12478" max="12478" width="4.5703125" style="39" customWidth="1"/>
    <col min="12479" max="12479" width="5.85546875" style="39" customWidth="1"/>
    <col min="12480" max="12480" width="36" style="39" customWidth="1"/>
    <col min="12481" max="12481" width="9.7109375" style="39" customWidth="1"/>
    <col min="12482" max="12482" width="11.85546875" style="39" customWidth="1"/>
    <col min="12483" max="12483" width="9" style="39" customWidth="1"/>
    <col min="12484" max="12484" width="9.7109375" style="39" customWidth="1"/>
    <col min="12485" max="12485" width="9.28515625" style="39" customWidth="1"/>
    <col min="12486" max="12486" width="8.7109375" style="39" customWidth="1"/>
    <col min="12487" max="12487" width="6.85546875" style="39" customWidth="1"/>
    <col min="12488" max="12732" width="9.140625" style="39" customWidth="1"/>
    <col min="12733" max="12733" width="3.7109375" style="39"/>
    <col min="12734" max="12734" width="4.5703125" style="39" customWidth="1"/>
    <col min="12735" max="12735" width="5.85546875" style="39" customWidth="1"/>
    <col min="12736" max="12736" width="36" style="39" customWidth="1"/>
    <col min="12737" max="12737" width="9.7109375" style="39" customWidth="1"/>
    <col min="12738" max="12738" width="11.85546875" style="39" customWidth="1"/>
    <col min="12739" max="12739" width="9" style="39" customWidth="1"/>
    <col min="12740" max="12740" width="9.7109375" style="39" customWidth="1"/>
    <col min="12741" max="12741" width="9.28515625" style="39" customWidth="1"/>
    <col min="12742" max="12742" width="8.7109375" style="39" customWidth="1"/>
    <col min="12743" max="12743" width="6.85546875" style="39" customWidth="1"/>
    <col min="12744" max="12988" width="9.140625" style="39" customWidth="1"/>
    <col min="12989" max="12989" width="3.7109375" style="39"/>
    <col min="12990" max="12990" width="4.5703125" style="39" customWidth="1"/>
    <col min="12991" max="12991" width="5.85546875" style="39" customWidth="1"/>
    <col min="12992" max="12992" width="36" style="39" customWidth="1"/>
    <col min="12993" max="12993" width="9.7109375" style="39" customWidth="1"/>
    <col min="12994" max="12994" width="11.85546875" style="39" customWidth="1"/>
    <col min="12995" max="12995" width="9" style="39" customWidth="1"/>
    <col min="12996" max="12996" width="9.7109375" style="39" customWidth="1"/>
    <col min="12997" max="12997" width="9.28515625" style="39" customWidth="1"/>
    <col min="12998" max="12998" width="8.7109375" style="39" customWidth="1"/>
    <col min="12999" max="12999" width="6.85546875" style="39" customWidth="1"/>
    <col min="13000" max="13244" width="9.140625" style="39" customWidth="1"/>
    <col min="13245" max="13245" width="3.7109375" style="39"/>
    <col min="13246" max="13246" width="4.5703125" style="39" customWidth="1"/>
    <col min="13247" max="13247" width="5.85546875" style="39" customWidth="1"/>
    <col min="13248" max="13248" width="36" style="39" customWidth="1"/>
    <col min="13249" max="13249" width="9.7109375" style="39" customWidth="1"/>
    <col min="13250" max="13250" width="11.85546875" style="39" customWidth="1"/>
    <col min="13251" max="13251" width="9" style="39" customWidth="1"/>
    <col min="13252" max="13252" width="9.7109375" style="39" customWidth="1"/>
    <col min="13253" max="13253" width="9.28515625" style="39" customWidth="1"/>
    <col min="13254" max="13254" width="8.7109375" style="39" customWidth="1"/>
    <col min="13255" max="13255" width="6.85546875" style="39" customWidth="1"/>
    <col min="13256" max="13500" width="9.140625" style="39" customWidth="1"/>
    <col min="13501" max="13501" width="3.7109375" style="39"/>
    <col min="13502" max="13502" width="4.5703125" style="39" customWidth="1"/>
    <col min="13503" max="13503" width="5.85546875" style="39" customWidth="1"/>
    <col min="13504" max="13504" width="36" style="39" customWidth="1"/>
    <col min="13505" max="13505" width="9.7109375" style="39" customWidth="1"/>
    <col min="13506" max="13506" width="11.85546875" style="39" customWidth="1"/>
    <col min="13507" max="13507" width="9" style="39" customWidth="1"/>
    <col min="13508" max="13508" width="9.7109375" style="39" customWidth="1"/>
    <col min="13509" max="13509" width="9.28515625" style="39" customWidth="1"/>
    <col min="13510" max="13510" width="8.7109375" style="39" customWidth="1"/>
    <col min="13511" max="13511" width="6.85546875" style="39" customWidth="1"/>
    <col min="13512" max="13756" width="9.140625" style="39" customWidth="1"/>
    <col min="13757" max="13757" width="3.7109375" style="39"/>
    <col min="13758" max="13758" width="4.5703125" style="39" customWidth="1"/>
    <col min="13759" max="13759" width="5.85546875" style="39" customWidth="1"/>
    <col min="13760" max="13760" width="36" style="39" customWidth="1"/>
    <col min="13761" max="13761" width="9.7109375" style="39" customWidth="1"/>
    <col min="13762" max="13762" width="11.85546875" style="39" customWidth="1"/>
    <col min="13763" max="13763" width="9" style="39" customWidth="1"/>
    <col min="13764" max="13764" width="9.7109375" style="39" customWidth="1"/>
    <col min="13765" max="13765" width="9.28515625" style="39" customWidth="1"/>
    <col min="13766" max="13766" width="8.7109375" style="39" customWidth="1"/>
    <col min="13767" max="13767" width="6.85546875" style="39" customWidth="1"/>
    <col min="13768" max="14012" width="9.140625" style="39" customWidth="1"/>
    <col min="14013" max="14013" width="3.7109375" style="39"/>
    <col min="14014" max="14014" width="4.5703125" style="39" customWidth="1"/>
    <col min="14015" max="14015" width="5.85546875" style="39" customWidth="1"/>
    <col min="14016" max="14016" width="36" style="39" customWidth="1"/>
    <col min="14017" max="14017" width="9.7109375" style="39" customWidth="1"/>
    <col min="14018" max="14018" width="11.85546875" style="39" customWidth="1"/>
    <col min="14019" max="14019" width="9" style="39" customWidth="1"/>
    <col min="14020" max="14020" width="9.7109375" style="39" customWidth="1"/>
    <col min="14021" max="14021" width="9.28515625" style="39" customWidth="1"/>
    <col min="14022" max="14022" width="8.7109375" style="39" customWidth="1"/>
    <col min="14023" max="14023" width="6.85546875" style="39" customWidth="1"/>
    <col min="14024" max="14268" width="9.140625" style="39" customWidth="1"/>
    <col min="14269" max="14269" width="3.7109375" style="39"/>
    <col min="14270" max="14270" width="4.5703125" style="39" customWidth="1"/>
    <col min="14271" max="14271" width="5.85546875" style="39" customWidth="1"/>
    <col min="14272" max="14272" width="36" style="39" customWidth="1"/>
    <col min="14273" max="14273" width="9.7109375" style="39" customWidth="1"/>
    <col min="14274" max="14274" width="11.85546875" style="39" customWidth="1"/>
    <col min="14275" max="14275" width="9" style="39" customWidth="1"/>
    <col min="14276" max="14276" width="9.7109375" style="39" customWidth="1"/>
    <col min="14277" max="14277" width="9.28515625" style="39" customWidth="1"/>
    <col min="14278" max="14278" width="8.7109375" style="39" customWidth="1"/>
    <col min="14279" max="14279" width="6.85546875" style="39" customWidth="1"/>
    <col min="14280" max="14524" width="9.140625" style="39" customWidth="1"/>
    <col min="14525" max="14525" width="3.7109375" style="39"/>
    <col min="14526" max="14526" width="4.5703125" style="39" customWidth="1"/>
    <col min="14527" max="14527" width="5.85546875" style="39" customWidth="1"/>
    <col min="14528" max="14528" width="36" style="39" customWidth="1"/>
    <col min="14529" max="14529" width="9.7109375" style="39" customWidth="1"/>
    <col min="14530" max="14530" width="11.85546875" style="39" customWidth="1"/>
    <col min="14531" max="14531" width="9" style="39" customWidth="1"/>
    <col min="14532" max="14532" width="9.7109375" style="39" customWidth="1"/>
    <col min="14533" max="14533" width="9.28515625" style="39" customWidth="1"/>
    <col min="14534" max="14534" width="8.7109375" style="39" customWidth="1"/>
    <col min="14535" max="14535" width="6.85546875" style="39" customWidth="1"/>
    <col min="14536" max="14780" width="9.140625" style="39" customWidth="1"/>
    <col min="14781" max="14781" width="3.7109375" style="39"/>
    <col min="14782" max="14782" width="4.5703125" style="39" customWidth="1"/>
    <col min="14783" max="14783" width="5.85546875" style="39" customWidth="1"/>
    <col min="14784" max="14784" width="36" style="39" customWidth="1"/>
    <col min="14785" max="14785" width="9.7109375" style="39" customWidth="1"/>
    <col min="14786" max="14786" width="11.85546875" style="39" customWidth="1"/>
    <col min="14787" max="14787" width="9" style="39" customWidth="1"/>
    <col min="14788" max="14788" width="9.7109375" style="39" customWidth="1"/>
    <col min="14789" max="14789" width="9.28515625" style="39" customWidth="1"/>
    <col min="14790" max="14790" width="8.7109375" style="39" customWidth="1"/>
    <col min="14791" max="14791" width="6.85546875" style="39" customWidth="1"/>
    <col min="14792" max="15036" width="9.140625" style="39" customWidth="1"/>
    <col min="15037" max="15037" width="3.7109375" style="39"/>
    <col min="15038" max="15038" width="4.5703125" style="39" customWidth="1"/>
    <col min="15039" max="15039" width="5.85546875" style="39" customWidth="1"/>
    <col min="15040" max="15040" width="36" style="39" customWidth="1"/>
    <col min="15041" max="15041" width="9.7109375" style="39" customWidth="1"/>
    <col min="15042" max="15042" width="11.85546875" style="39" customWidth="1"/>
    <col min="15043" max="15043" width="9" style="39" customWidth="1"/>
    <col min="15044" max="15044" width="9.7109375" style="39" customWidth="1"/>
    <col min="15045" max="15045" width="9.28515625" style="39" customWidth="1"/>
    <col min="15046" max="15046" width="8.7109375" style="39" customWidth="1"/>
    <col min="15047" max="15047" width="6.85546875" style="39" customWidth="1"/>
    <col min="15048" max="15292" width="9.140625" style="39" customWidth="1"/>
    <col min="15293" max="15293" width="3.7109375" style="39"/>
    <col min="15294" max="15294" width="4.5703125" style="39" customWidth="1"/>
    <col min="15295" max="15295" width="5.85546875" style="39" customWidth="1"/>
    <col min="15296" max="15296" width="36" style="39" customWidth="1"/>
    <col min="15297" max="15297" width="9.7109375" style="39" customWidth="1"/>
    <col min="15298" max="15298" width="11.85546875" style="39" customWidth="1"/>
    <col min="15299" max="15299" width="9" style="39" customWidth="1"/>
    <col min="15300" max="15300" width="9.7109375" style="39" customWidth="1"/>
    <col min="15301" max="15301" width="9.28515625" style="39" customWidth="1"/>
    <col min="15302" max="15302" width="8.7109375" style="39" customWidth="1"/>
    <col min="15303" max="15303" width="6.85546875" style="39" customWidth="1"/>
    <col min="15304" max="15548" width="9.140625" style="39" customWidth="1"/>
    <col min="15549" max="15549" width="3.7109375" style="39"/>
    <col min="15550" max="15550" width="4.5703125" style="39" customWidth="1"/>
    <col min="15551" max="15551" width="5.85546875" style="39" customWidth="1"/>
    <col min="15552" max="15552" width="36" style="39" customWidth="1"/>
    <col min="15553" max="15553" width="9.7109375" style="39" customWidth="1"/>
    <col min="15554" max="15554" width="11.85546875" style="39" customWidth="1"/>
    <col min="15555" max="15555" width="9" style="39" customWidth="1"/>
    <col min="15556" max="15556" width="9.7109375" style="39" customWidth="1"/>
    <col min="15557" max="15557" width="9.28515625" style="39" customWidth="1"/>
    <col min="15558" max="15558" width="8.7109375" style="39" customWidth="1"/>
    <col min="15559" max="15559" width="6.85546875" style="39" customWidth="1"/>
    <col min="15560" max="15804" width="9.140625" style="39" customWidth="1"/>
    <col min="15805" max="15805" width="3.7109375" style="39"/>
    <col min="15806" max="15806" width="4.5703125" style="39" customWidth="1"/>
    <col min="15807" max="15807" width="5.85546875" style="39" customWidth="1"/>
    <col min="15808" max="15808" width="36" style="39" customWidth="1"/>
    <col min="15809" max="15809" width="9.7109375" style="39" customWidth="1"/>
    <col min="15810" max="15810" width="11.85546875" style="39" customWidth="1"/>
    <col min="15811" max="15811" width="9" style="39" customWidth="1"/>
    <col min="15812" max="15812" width="9.7109375" style="39" customWidth="1"/>
    <col min="15813" max="15813" width="9.28515625" style="39" customWidth="1"/>
    <col min="15814" max="15814" width="8.7109375" style="39" customWidth="1"/>
    <col min="15815" max="15815" width="6.85546875" style="39" customWidth="1"/>
    <col min="15816" max="16060" width="9.140625" style="39" customWidth="1"/>
    <col min="16061" max="16061" width="3.7109375" style="39"/>
    <col min="16062" max="16062" width="4.5703125" style="39" customWidth="1"/>
    <col min="16063" max="16063" width="5.85546875" style="39" customWidth="1"/>
    <col min="16064" max="16064" width="36" style="39" customWidth="1"/>
    <col min="16065" max="16065" width="9.7109375" style="39" customWidth="1"/>
    <col min="16066" max="16066" width="11.85546875" style="39" customWidth="1"/>
    <col min="16067" max="16067" width="9" style="39" customWidth="1"/>
    <col min="16068" max="16068" width="9.7109375" style="39" customWidth="1"/>
    <col min="16069" max="16069" width="9.28515625" style="39" customWidth="1"/>
    <col min="16070" max="16070" width="8.7109375" style="39" customWidth="1"/>
    <col min="16071" max="16071" width="6.85546875" style="39" customWidth="1"/>
    <col min="16072" max="16316" width="9.140625" style="39" customWidth="1"/>
    <col min="16317" max="16384" width="3.7109375" style="39"/>
  </cols>
  <sheetData>
    <row r="1" spans="1:9" x14ac:dyDescent="0.2">
      <c r="C1" s="42"/>
      <c r="G1" s="224"/>
      <c r="H1" s="224"/>
      <c r="I1" s="224"/>
    </row>
    <row r="2" spans="1:9" x14ac:dyDescent="0.2">
      <c r="A2" s="230" t="s">
        <v>16</v>
      </c>
      <c r="B2" s="230"/>
      <c r="C2" s="230"/>
      <c r="D2" s="230"/>
      <c r="E2" s="230"/>
      <c r="F2" s="230"/>
      <c r="G2" s="230"/>
      <c r="H2" s="230"/>
      <c r="I2" s="230"/>
    </row>
    <row r="3" spans="1:9" x14ac:dyDescent="0.2">
      <c r="A3" s="40"/>
      <c r="B3" s="40"/>
      <c r="C3" s="40"/>
      <c r="D3" s="40"/>
      <c r="E3" s="40"/>
      <c r="F3" s="40"/>
      <c r="G3" s="40"/>
      <c r="H3" s="40"/>
      <c r="I3" s="40"/>
    </row>
    <row r="4" spans="1:9" x14ac:dyDescent="0.2">
      <c r="A4" s="40"/>
      <c r="B4" s="40"/>
      <c r="C4" s="231" t="s">
        <v>17</v>
      </c>
      <c r="D4" s="231"/>
      <c r="E4" s="231"/>
      <c r="F4" s="231"/>
      <c r="G4" s="231"/>
      <c r="H4" s="231"/>
      <c r="I4" s="231"/>
    </row>
    <row r="5" spans="1:9" ht="11.25" customHeight="1" x14ac:dyDescent="0.2">
      <c r="A5" s="131"/>
      <c r="B5" s="131"/>
      <c r="C5" s="233" t="s">
        <v>52</v>
      </c>
      <c r="D5" s="233"/>
      <c r="E5" s="233"/>
      <c r="F5" s="233"/>
      <c r="G5" s="233"/>
      <c r="H5" s="233"/>
      <c r="I5" s="233"/>
    </row>
    <row r="6" spans="1:9" x14ac:dyDescent="0.2">
      <c r="A6" s="228" t="s">
        <v>18</v>
      </c>
      <c r="B6" s="228"/>
      <c r="C6" s="228"/>
      <c r="D6" s="232" t="str">
        <f>'Kopt a'!B13</f>
        <v>Daudzdzīvokļu dzīvojamās ēkas vienkāršota fasādes atjaunošana.</v>
      </c>
      <c r="E6" s="232"/>
      <c r="F6" s="232"/>
      <c r="G6" s="232"/>
      <c r="H6" s="232"/>
      <c r="I6" s="232"/>
    </row>
    <row r="7" spans="1:9" x14ac:dyDescent="0.2">
      <c r="A7" s="228" t="s">
        <v>6</v>
      </c>
      <c r="B7" s="228"/>
      <c r="C7" s="228"/>
      <c r="D7" s="229" t="str">
        <f>'Kopt a'!B14</f>
        <v>Daudzdzīvokļu dzīvojamās ēkas vienkāršota fasādes atjaunošana.</v>
      </c>
      <c r="E7" s="229"/>
      <c r="F7" s="229"/>
      <c r="G7" s="229"/>
      <c r="H7" s="229"/>
      <c r="I7" s="229"/>
    </row>
    <row r="8" spans="1:9" x14ac:dyDescent="0.2">
      <c r="A8" s="238" t="s">
        <v>19</v>
      </c>
      <c r="B8" s="238"/>
      <c r="C8" s="238"/>
      <c r="D8" s="229" t="str">
        <f>'Kopt a'!B15</f>
        <v>Smilšu iela 42, k-1, Tukums</v>
      </c>
      <c r="E8" s="229"/>
      <c r="F8" s="229"/>
      <c r="G8" s="229"/>
      <c r="H8" s="229"/>
      <c r="I8" s="229"/>
    </row>
    <row r="9" spans="1:9" x14ac:dyDescent="0.2">
      <c r="A9" s="238" t="s">
        <v>20</v>
      </c>
      <c r="B9" s="238"/>
      <c r="C9" s="238"/>
      <c r="D9" s="229" t="str">
        <f>'Kopt a'!B16</f>
        <v xml:space="preserve"> </v>
      </c>
      <c r="E9" s="229"/>
      <c r="F9" s="229"/>
      <c r="G9" s="229"/>
      <c r="H9" s="229"/>
      <c r="I9" s="229"/>
    </row>
    <row r="10" spans="1:9" x14ac:dyDescent="0.2">
      <c r="C10" s="42" t="s">
        <v>21</v>
      </c>
      <c r="D10" s="239">
        <f>E28</f>
        <v>0</v>
      </c>
      <c r="E10" s="239"/>
      <c r="F10" s="132"/>
      <c r="G10" s="132"/>
      <c r="H10" s="132"/>
      <c r="I10" s="132"/>
    </row>
    <row r="11" spans="1:9" x14ac:dyDescent="0.2">
      <c r="C11" s="42" t="s">
        <v>22</v>
      </c>
      <c r="D11" s="239">
        <f>I24</f>
        <v>0</v>
      </c>
      <c r="E11" s="239"/>
      <c r="F11" s="132"/>
      <c r="G11" s="132"/>
      <c r="H11" s="132"/>
      <c r="I11" s="132"/>
    </row>
    <row r="12" spans="1:9" ht="12" thickBot="1" x14ac:dyDescent="0.25">
      <c r="F12" s="133"/>
      <c r="G12" s="133"/>
      <c r="H12" s="133"/>
      <c r="I12" s="133"/>
    </row>
    <row r="13" spans="1:9" x14ac:dyDescent="0.2">
      <c r="A13" s="244" t="s">
        <v>23</v>
      </c>
      <c r="B13" s="246" t="s">
        <v>24</v>
      </c>
      <c r="C13" s="248" t="s">
        <v>25</v>
      </c>
      <c r="D13" s="249"/>
      <c r="E13" s="240" t="s">
        <v>26</v>
      </c>
      <c r="F13" s="234" t="s">
        <v>27</v>
      </c>
      <c r="G13" s="235"/>
      <c r="H13" s="235"/>
      <c r="I13" s="236" t="s">
        <v>28</v>
      </c>
    </row>
    <row r="14" spans="1:9" ht="23.25" thickBot="1" x14ac:dyDescent="0.25">
      <c r="A14" s="245"/>
      <c r="B14" s="247"/>
      <c r="C14" s="250"/>
      <c r="D14" s="251"/>
      <c r="E14" s="241"/>
      <c r="F14" s="134" t="s">
        <v>29</v>
      </c>
      <c r="G14" s="113" t="s">
        <v>30</v>
      </c>
      <c r="H14" s="113" t="s">
        <v>31</v>
      </c>
      <c r="I14" s="237"/>
    </row>
    <row r="15" spans="1:9" x14ac:dyDescent="0.2">
      <c r="A15" s="135">
        <f>IF(E15=0,0,IF(COUNTBLANK(E15)=1,0,COUNTA($E$15:E15)))</f>
        <v>0</v>
      </c>
      <c r="B15" s="136">
        <f>IF(A15=0,0,CONCATENATE("Lt-",A15))</f>
        <v>0</v>
      </c>
      <c r="C15" s="252" t="str">
        <f>'1a'!C2:I2</f>
        <v>Būvlaukums</v>
      </c>
      <c r="D15" s="253"/>
      <c r="E15" s="137">
        <f>'1a'!P28</f>
        <v>0</v>
      </c>
      <c r="F15" s="138">
        <f>'1a'!M28</f>
        <v>0</v>
      </c>
      <c r="G15" s="139">
        <f>'1a'!N28</f>
        <v>0</v>
      </c>
      <c r="H15" s="139">
        <f>'1a'!O28</f>
        <v>0</v>
      </c>
      <c r="I15" s="140">
        <f>'1a'!L28</f>
        <v>0</v>
      </c>
    </row>
    <row r="16" spans="1:9" x14ac:dyDescent="0.2">
      <c r="A16" s="141">
        <f>IF(E16=0,0,IF(COUNTBLANK(E16)=1,0,COUNTA($E$15:E16)))</f>
        <v>0</v>
      </c>
      <c r="B16" s="142">
        <f>IF(A16=0,0,CONCATENATE("Lt-",A16))</f>
        <v>0</v>
      </c>
      <c r="C16" s="242" t="str">
        <f>'2a'!C2:I2</f>
        <v>Jumts</v>
      </c>
      <c r="D16" s="243"/>
      <c r="E16" s="143">
        <f>'2a'!P116</f>
        <v>0</v>
      </c>
      <c r="F16" s="144">
        <f>'2a'!M116</f>
        <v>0</v>
      </c>
      <c r="G16" s="145">
        <f>'2a'!N116</f>
        <v>0</v>
      </c>
      <c r="H16" s="145">
        <f>'2a'!O116</f>
        <v>0</v>
      </c>
      <c r="I16" s="110">
        <f>'2a'!L116</f>
        <v>0</v>
      </c>
    </row>
    <row r="17" spans="1:12" x14ac:dyDescent="0.2">
      <c r="A17" s="141">
        <f>IF(E17=0,0,IF(COUNTBLANK(E17)=1,0,COUNTA($E$15:E17)))</f>
        <v>0</v>
      </c>
      <c r="B17" s="142">
        <f t="shared" ref="B17:B23" si="0">IF(A17=0,0,CONCATENATE("Lt-",A17))</f>
        <v>0</v>
      </c>
      <c r="C17" s="242" t="str">
        <f>'3a'!C2:I2</f>
        <v>Cokols</v>
      </c>
      <c r="D17" s="243"/>
      <c r="E17" s="146">
        <f>'3a'!P63</f>
        <v>0</v>
      </c>
      <c r="F17" s="144">
        <f>'3a'!M63</f>
        <v>0</v>
      </c>
      <c r="G17" s="145">
        <f>'3a'!N63</f>
        <v>0</v>
      </c>
      <c r="H17" s="145">
        <f>'3a'!O63</f>
        <v>0</v>
      </c>
      <c r="I17" s="110">
        <f>'3a'!L63</f>
        <v>0</v>
      </c>
    </row>
    <row r="18" spans="1:12" ht="11.25" customHeight="1" x14ac:dyDescent="0.2">
      <c r="A18" s="141">
        <f>IF(E18=0,0,IF(COUNTBLANK(E18)=1,0,COUNTA($E$15:E18)))</f>
        <v>0</v>
      </c>
      <c r="B18" s="142">
        <f t="shared" si="0"/>
        <v>0</v>
      </c>
      <c r="C18" s="242" t="str">
        <f>'4a'!C2:I2</f>
        <v>Bēniņi</v>
      </c>
      <c r="D18" s="243"/>
      <c r="E18" s="146">
        <f>'4a'!P23</f>
        <v>0</v>
      </c>
      <c r="F18" s="144">
        <f>'4a'!M23</f>
        <v>0</v>
      </c>
      <c r="G18" s="145">
        <f>'4a'!N23</f>
        <v>0</v>
      </c>
      <c r="H18" s="145">
        <f>'4a'!O23</f>
        <v>0</v>
      </c>
      <c r="I18" s="110">
        <f>'4a'!L23</f>
        <v>0</v>
      </c>
    </row>
    <row r="19" spans="1:12" x14ac:dyDescent="0.2">
      <c r="A19" s="141">
        <f>IF(E19=0,0,IF(COUNTBLANK(E19)=1,0,COUNTA($E$15:E19)))</f>
        <v>0</v>
      </c>
      <c r="B19" s="142">
        <f t="shared" si="0"/>
        <v>0</v>
      </c>
      <c r="C19" s="242" t="str">
        <f>'5a'!C2:I2</f>
        <v>Fasāde</v>
      </c>
      <c r="D19" s="243"/>
      <c r="E19" s="146">
        <f>'5a'!P91</f>
        <v>0</v>
      </c>
      <c r="F19" s="144">
        <f>'5a'!M91</f>
        <v>0</v>
      </c>
      <c r="G19" s="145">
        <f>'5a'!N91</f>
        <v>0</v>
      </c>
      <c r="H19" s="145">
        <f>'5a'!O91</f>
        <v>0</v>
      </c>
      <c r="I19" s="110">
        <f>'5a'!L91</f>
        <v>0</v>
      </c>
    </row>
    <row r="20" spans="1:12" x14ac:dyDescent="0.2">
      <c r="A20" s="141">
        <f>IF(E20=0,0,IF(COUNTBLANK(E20)=1,0,COUNTA($E$15:E20)))</f>
        <v>0</v>
      </c>
      <c r="B20" s="142">
        <f t="shared" si="0"/>
        <v>0</v>
      </c>
      <c r="C20" s="242" t="str">
        <f>'6a'!C2:I2</f>
        <v>Pagrabs</v>
      </c>
      <c r="D20" s="243"/>
      <c r="E20" s="146">
        <f>'6a'!P20</f>
        <v>0</v>
      </c>
      <c r="F20" s="144">
        <f>'6a'!M20</f>
        <v>0</v>
      </c>
      <c r="G20" s="145">
        <f>'6a'!N20</f>
        <v>0</v>
      </c>
      <c r="H20" s="145">
        <f>'6a'!O20</f>
        <v>0</v>
      </c>
      <c r="I20" s="110">
        <f>'6a'!L20</f>
        <v>0</v>
      </c>
    </row>
    <row r="21" spans="1:12" x14ac:dyDescent="0.2">
      <c r="A21" s="141">
        <f>IF(E21=0,0,IF(COUNTBLANK(E21)=1,0,COUNTA($E$15:E21)))</f>
        <v>0</v>
      </c>
      <c r="B21" s="142">
        <f t="shared" si="0"/>
        <v>0</v>
      </c>
      <c r="C21" s="242" t="str">
        <f>'7a'!C2:I2</f>
        <v>Ēkas ventilācija</v>
      </c>
      <c r="D21" s="243"/>
      <c r="E21" s="146">
        <f>'7a'!P15</f>
        <v>0</v>
      </c>
      <c r="F21" s="144">
        <f>'7a'!M15</f>
        <v>0</v>
      </c>
      <c r="G21" s="145">
        <f>'7a'!N15</f>
        <v>0</v>
      </c>
      <c r="H21" s="145">
        <f>'7a'!O15</f>
        <v>0</v>
      </c>
      <c r="I21" s="110">
        <f>'7a'!L15</f>
        <v>0</v>
      </c>
    </row>
    <row r="22" spans="1:12" x14ac:dyDescent="0.2">
      <c r="A22" s="141">
        <f>IF(E22=0,0,IF(COUNTBLANK(E22)=1,0,COUNTA($E$15:E22)))</f>
        <v>0</v>
      </c>
      <c r="B22" s="142">
        <f t="shared" si="0"/>
        <v>0</v>
      </c>
      <c r="C22" s="242" t="str">
        <f>'8a'!C2:I2</f>
        <v>Logi, Durvis</v>
      </c>
      <c r="D22" s="243"/>
      <c r="E22" s="146">
        <f>'8a'!P37</f>
        <v>0</v>
      </c>
      <c r="F22" s="144">
        <f>'8a'!M37</f>
        <v>0</v>
      </c>
      <c r="G22" s="145">
        <f>'8a'!N37</f>
        <v>0</v>
      </c>
      <c r="H22" s="145">
        <f>'8a'!O37</f>
        <v>0</v>
      </c>
      <c r="I22" s="110">
        <f>'8a'!L37</f>
        <v>0</v>
      </c>
    </row>
    <row r="23" spans="1:12" ht="12" thickBot="1" x14ac:dyDescent="0.25">
      <c r="A23" s="141">
        <f>IF(E23=0,0,IF(COUNTBLANK(E23)=1,0,COUNTA($E$15:E23)))</f>
        <v>0</v>
      </c>
      <c r="B23" s="142">
        <f t="shared" si="0"/>
        <v>0</v>
      </c>
      <c r="C23" s="242" t="str">
        <f>'9a'!C2:I2</f>
        <v>Apkure</v>
      </c>
      <c r="D23" s="243"/>
      <c r="E23" s="146">
        <f>'9a'!P64</f>
        <v>0</v>
      </c>
      <c r="F23" s="144">
        <f>'9a'!M64</f>
        <v>0</v>
      </c>
      <c r="G23" s="145">
        <f>'9a'!N64</f>
        <v>0</v>
      </c>
      <c r="H23" s="145">
        <f>'9a'!O64</f>
        <v>0</v>
      </c>
      <c r="I23" s="110">
        <f>'9a'!L64</f>
        <v>0</v>
      </c>
    </row>
    <row r="24" spans="1:12" ht="12" thickBot="1" x14ac:dyDescent="0.25">
      <c r="A24" s="254" t="s">
        <v>32</v>
      </c>
      <c r="B24" s="255"/>
      <c r="C24" s="255"/>
      <c r="D24" s="255"/>
      <c r="E24" s="147">
        <f>SUM(E15:E23)</f>
        <v>0</v>
      </c>
      <c r="F24" s="148">
        <f>SUM(F15:F23)</f>
        <v>0</v>
      </c>
      <c r="G24" s="148">
        <f>SUM(G15:G23)</f>
        <v>0</v>
      </c>
      <c r="H24" s="148">
        <f>SUM(H15:H23)</f>
        <v>0</v>
      </c>
      <c r="I24" s="147">
        <f>SUM(I15:I23)</f>
        <v>0</v>
      </c>
    </row>
    <row r="25" spans="1:12" x14ac:dyDescent="0.2">
      <c r="A25" s="256" t="s">
        <v>33</v>
      </c>
      <c r="B25" s="257"/>
      <c r="C25" s="258"/>
      <c r="D25" s="149">
        <v>0.08</v>
      </c>
      <c r="E25" s="150">
        <f>ROUND(E24*$D25,2)</f>
        <v>0</v>
      </c>
      <c r="F25" s="151"/>
      <c r="G25" s="151"/>
      <c r="H25" s="151"/>
      <c r="I25" s="151"/>
      <c r="K25" s="152"/>
      <c r="L25" s="101"/>
    </row>
    <row r="26" spans="1:12" x14ac:dyDescent="0.2">
      <c r="A26" s="259" t="s">
        <v>34</v>
      </c>
      <c r="B26" s="260"/>
      <c r="C26" s="261"/>
      <c r="D26" s="153">
        <v>0.1</v>
      </c>
      <c r="E26" s="154">
        <f>ROUND(E25*$D26,2)</f>
        <v>0</v>
      </c>
      <c r="F26" s="151"/>
      <c r="G26" s="151"/>
      <c r="H26" s="151"/>
      <c r="I26" s="151"/>
    </row>
    <row r="27" spans="1:12" x14ac:dyDescent="0.2">
      <c r="A27" s="262" t="s">
        <v>35</v>
      </c>
      <c r="B27" s="263"/>
      <c r="C27" s="264"/>
      <c r="D27" s="155">
        <v>7.0000000000000007E-2</v>
      </c>
      <c r="E27" s="154">
        <f>ROUND(E24*$D27,2)</f>
        <v>0</v>
      </c>
      <c r="F27" s="151"/>
      <c r="G27" s="151"/>
      <c r="H27" s="151"/>
      <c r="I27" s="151"/>
    </row>
    <row r="28" spans="1:12" ht="12" thickBot="1" x14ac:dyDescent="0.25">
      <c r="A28" s="265" t="s">
        <v>36</v>
      </c>
      <c r="B28" s="266"/>
      <c r="C28" s="267"/>
      <c r="D28" s="156"/>
      <c r="E28" s="157">
        <f>SUM(E24:E27)-E26</f>
        <v>0</v>
      </c>
      <c r="F28" s="151"/>
      <c r="G28" s="151"/>
      <c r="H28" s="151"/>
      <c r="I28" s="151"/>
    </row>
    <row r="29" spans="1:12" x14ac:dyDescent="0.2">
      <c r="G29" s="158"/>
    </row>
    <row r="30" spans="1:12" x14ac:dyDescent="0.2">
      <c r="C30" s="64"/>
      <c r="D30" s="64"/>
      <c r="E30" s="64"/>
      <c r="F30" s="65"/>
      <c r="G30" s="65"/>
      <c r="H30" s="65"/>
      <c r="I30" s="65"/>
    </row>
    <row r="33" spans="1:8" x14ac:dyDescent="0.2">
      <c r="A33" s="39" t="s">
        <v>14</v>
      </c>
      <c r="B33" s="64"/>
      <c r="C33" s="227" t="s">
        <v>263</v>
      </c>
      <c r="D33" s="227"/>
      <c r="E33" s="227"/>
      <c r="F33" s="227"/>
      <c r="G33" s="227"/>
      <c r="H33" s="227"/>
    </row>
    <row r="34" spans="1:8" x14ac:dyDescent="0.2">
      <c r="A34" s="64"/>
      <c r="B34" s="64"/>
      <c r="C34" s="222" t="s">
        <v>15</v>
      </c>
      <c r="D34" s="222"/>
      <c r="E34" s="222"/>
      <c r="F34" s="222"/>
      <c r="G34" s="222"/>
      <c r="H34" s="222"/>
    </row>
    <row r="35" spans="1:8" x14ac:dyDescent="0.2">
      <c r="A35" s="64"/>
      <c r="B35" s="64"/>
      <c r="C35" s="64"/>
      <c r="D35" s="64"/>
      <c r="E35" s="64"/>
      <c r="F35" s="64"/>
      <c r="G35" s="64"/>
      <c r="H35" s="64"/>
    </row>
    <row r="36" spans="1:8" x14ac:dyDescent="0.2">
      <c r="A36" s="98" t="str">
        <f>'Kopt a'!A36</f>
        <v>Tāme sastādīta 2021. gada 13. maijā</v>
      </c>
      <c r="B36" s="99"/>
      <c r="C36" s="99"/>
      <c r="D36" s="99"/>
      <c r="F36" s="64"/>
      <c r="G36" s="64"/>
      <c r="H36" s="64"/>
    </row>
    <row r="37" spans="1:8" x14ac:dyDescent="0.2">
      <c r="A37" s="64"/>
      <c r="B37" s="64"/>
      <c r="C37" s="64"/>
      <c r="D37" s="64"/>
      <c r="E37" s="64"/>
      <c r="F37" s="64"/>
      <c r="G37" s="64"/>
      <c r="H37" s="64"/>
    </row>
    <row r="38" spans="1:8" x14ac:dyDescent="0.2">
      <c r="A38" s="39" t="s">
        <v>37</v>
      </c>
      <c r="B38" s="64"/>
      <c r="C38" s="227" t="s">
        <v>215</v>
      </c>
      <c r="D38" s="227"/>
      <c r="E38" s="227"/>
      <c r="F38" s="227"/>
      <c r="G38" s="227"/>
      <c r="H38" s="227"/>
    </row>
    <row r="39" spans="1:8" x14ac:dyDescent="0.2">
      <c r="A39" s="64"/>
      <c r="B39" s="64"/>
      <c r="C39" s="222" t="s">
        <v>15</v>
      </c>
      <c r="D39" s="222"/>
      <c r="E39" s="222"/>
      <c r="F39" s="222"/>
      <c r="G39" s="222"/>
      <c r="H39" s="222"/>
    </row>
    <row r="40" spans="1:8" x14ac:dyDescent="0.2">
      <c r="A40" s="64"/>
      <c r="B40" s="64"/>
      <c r="C40" s="64"/>
      <c r="D40" s="64"/>
      <c r="E40" s="64"/>
      <c r="F40" s="64"/>
      <c r="G40" s="64"/>
      <c r="H40" s="64"/>
    </row>
    <row r="41" spans="1:8" x14ac:dyDescent="0.2">
      <c r="A41" s="98" t="s">
        <v>53</v>
      </c>
      <c r="B41" s="99"/>
      <c r="C41" s="159" t="s">
        <v>264</v>
      </c>
      <c r="D41" s="99"/>
      <c r="F41" s="64"/>
      <c r="G41" s="64"/>
      <c r="H41" s="64"/>
    </row>
    <row r="51" spans="5:9" x14ac:dyDescent="0.2">
      <c r="E51" s="158"/>
      <c r="F51" s="158"/>
      <c r="G51" s="158"/>
      <c r="H51" s="158"/>
      <c r="I51" s="158"/>
    </row>
  </sheetData>
  <mergeCells count="38">
    <mergeCell ref="C39:H39"/>
    <mergeCell ref="A24:D24"/>
    <mergeCell ref="A25:C25"/>
    <mergeCell ref="A26:C26"/>
    <mergeCell ref="A27:C27"/>
    <mergeCell ref="A28:C28"/>
    <mergeCell ref="C33:H33"/>
    <mergeCell ref="C34:H34"/>
    <mergeCell ref="C38:H38"/>
    <mergeCell ref="C22:D22"/>
    <mergeCell ref="C23:D23"/>
    <mergeCell ref="C20:D20"/>
    <mergeCell ref="A13:A14"/>
    <mergeCell ref="B13:B14"/>
    <mergeCell ref="C13:D14"/>
    <mergeCell ref="C19:D19"/>
    <mergeCell ref="C15:D15"/>
    <mergeCell ref="C16:D16"/>
    <mergeCell ref="C17:D17"/>
    <mergeCell ref="C18:D18"/>
    <mergeCell ref="C21:D21"/>
    <mergeCell ref="F13:H13"/>
    <mergeCell ref="I13:I14"/>
    <mergeCell ref="A8:C8"/>
    <mergeCell ref="D8:I8"/>
    <mergeCell ref="A9:C9"/>
    <mergeCell ref="D9:I9"/>
    <mergeCell ref="D10:E10"/>
    <mergeCell ref="D11:E11"/>
    <mergeCell ref="E13:E14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E24:I24">
    <cfRule type="cellIs" dxfId="241" priority="19" operator="equal">
      <formula>0</formula>
    </cfRule>
  </conditionalFormatting>
  <conditionalFormatting sqref="D10:E11">
    <cfRule type="cellIs" dxfId="240" priority="18" operator="equal">
      <formula>0</formula>
    </cfRule>
  </conditionalFormatting>
  <conditionalFormatting sqref="E15 C15:D23 E25:E28 I15:I23">
    <cfRule type="cellIs" dxfId="239" priority="16" operator="equal">
      <formula>0</formula>
    </cfRule>
  </conditionalFormatting>
  <conditionalFormatting sqref="D25:D27">
    <cfRule type="cellIs" dxfId="238" priority="14" operator="equal">
      <formula>0</formula>
    </cfRule>
  </conditionalFormatting>
  <conditionalFormatting sqref="C38:H38">
    <cfRule type="cellIs" dxfId="237" priority="11" operator="equal">
      <formula>0</formula>
    </cfRule>
  </conditionalFormatting>
  <conditionalFormatting sqref="C33:H33">
    <cfRule type="cellIs" dxfId="236" priority="10" operator="equal">
      <formula>0</formula>
    </cfRule>
  </conditionalFormatting>
  <conditionalFormatting sqref="E15:E23">
    <cfRule type="cellIs" dxfId="235" priority="8" operator="equal">
      <formula>0</formula>
    </cfRule>
  </conditionalFormatting>
  <conditionalFormatting sqref="F15:I23">
    <cfRule type="cellIs" dxfId="234" priority="7" operator="equal">
      <formula>0</formula>
    </cfRule>
  </conditionalFormatting>
  <conditionalFormatting sqref="D6:I9">
    <cfRule type="cellIs" dxfId="233" priority="6" operator="equal">
      <formula>0</formula>
    </cfRule>
  </conditionalFormatting>
  <conditionalFormatting sqref="C41">
    <cfRule type="cellIs" dxfId="232" priority="4" operator="equal">
      <formula>0</formula>
    </cfRule>
  </conditionalFormatting>
  <conditionalFormatting sqref="B15:B23">
    <cfRule type="cellIs" dxfId="231" priority="3" operator="equal">
      <formula>0</formula>
    </cfRule>
  </conditionalFormatting>
  <conditionalFormatting sqref="A15:A23">
    <cfRule type="cellIs" dxfId="230" priority="1" operator="equal">
      <formula>0</formula>
    </cfRule>
  </conditionalFormatting>
  <pageMargins left="0.76041666666666663" right="0.25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P37"/>
  <sheetViews>
    <sheetView zoomScaleNormal="100" workbookViewId="0">
      <selection activeCell="F14" sqref="F14:P27"/>
    </sheetView>
  </sheetViews>
  <sheetFormatPr defaultColWidth="9.140625" defaultRowHeight="11.25" x14ac:dyDescent="0.2"/>
  <cols>
    <col min="1" max="1" width="4.5703125" style="39" customWidth="1"/>
    <col min="2" max="2" width="5.28515625" style="39" customWidth="1"/>
    <col min="3" max="3" width="38.42578125" style="39" customWidth="1"/>
    <col min="4" max="4" width="5.85546875" style="39" customWidth="1"/>
    <col min="5" max="5" width="8.7109375" style="39" customWidth="1"/>
    <col min="6" max="6" width="5.42578125" style="39" customWidth="1"/>
    <col min="7" max="7" width="4.85546875" style="39" customWidth="1"/>
    <col min="8" max="10" width="6.7109375" style="39" customWidth="1"/>
    <col min="11" max="11" width="7" style="39" customWidth="1"/>
    <col min="12" max="15" width="7.7109375" style="39" customWidth="1"/>
    <col min="16" max="16" width="9" style="39" customWidth="1"/>
    <col min="17" max="16384" width="9.140625" style="39"/>
  </cols>
  <sheetData>
    <row r="1" spans="1:16" x14ac:dyDescent="0.2">
      <c r="A1" s="65"/>
      <c r="B1" s="65"/>
      <c r="C1" s="66" t="s">
        <v>38</v>
      </c>
      <c r="D1" s="67">
        <f>'Kops a'!A15</f>
        <v>0</v>
      </c>
      <c r="E1" s="65"/>
      <c r="F1" s="65"/>
      <c r="G1" s="65"/>
      <c r="H1" s="65"/>
      <c r="I1" s="65"/>
      <c r="J1" s="65"/>
      <c r="N1" s="68"/>
      <c r="O1" s="66"/>
      <c r="P1" s="69"/>
    </row>
    <row r="2" spans="1:16" x14ac:dyDescent="0.2">
      <c r="A2" s="70"/>
      <c r="B2" s="70"/>
      <c r="C2" s="268" t="s">
        <v>56</v>
      </c>
      <c r="D2" s="268"/>
      <c r="E2" s="268"/>
      <c r="F2" s="268"/>
      <c r="G2" s="268"/>
      <c r="H2" s="268"/>
      <c r="I2" s="268"/>
      <c r="J2" s="70"/>
    </row>
    <row r="3" spans="1:16" x14ac:dyDescent="0.2">
      <c r="A3" s="71"/>
      <c r="B3" s="71"/>
      <c r="C3" s="231" t="s">
        <v>17</v>
      </c>
      <c r="D3" s="231"/>
      <c r="E3" s="231"/>
      <c r="F3" s="231"/>
      <c r="G3" s="231"/>
      <c r="H3" s="231"/>
      <c r="I3" s="231"/>
      <c r="J3" s="71"/>
    </row>
    <row r="4" spans="1:16" x14ac:dyDescent="0.2">
      <c r="A4" s="71"/>
      <c r="B4" s="71"/>
      <c r="C4" s="269" t="s">
        <v>52</v>
      </c>
      <c r="D4" s="269"/>
      <c r="E4" s="269"/>
      <c r="F4" s="269"/>
      <c r="G4" s="269"/>
      <c r="H4" s="269"/>
      <c r="I4" s="269"/>
      <c r="J4" s="71"/>
    </row>
    <row r="5" spans="1:16" ht="11.25" customHeight="1" x14ac:dyDescent="0.2">
      <c r="A5" s="65"/>
      <c r="B5" s="65"/>
      <c r="C5" s="66" t="s">
        <v>5</v>
      </c>
      <c r="D5" s="282" t="str">
        <f>'Kops a'!D6</f>
        <v>Daudzdzīvokļu dzīvojamās ēkas vienkāršota fasādes atjaunošana.</v>
      </c>
      <c r="E5" s="282"/>
      <c r="F5" s="282"/>
      <c r="G5" s="282"/>
      <c r="H5" s="282"/>
      <c r="I5" s="282"/>
      <c r="J5" s="282"/>
      <c r="K5" s="282"/>
      <c r="L5" s="282"/>
      <c r="M5" s="64"/>
      <c r="N5" s="64"/>
      <c r="O5" s="64"/>
      <c r="P5" s="64"/>
    </row>
    <row r="6" spans="1:16" x14ac:dyDescent="0.2">
      <c r="A6" s="65"/>
      <c r="B6" s="65"/>
      <c r="C6" s="66" t="s">
        <v>6</v>
      </c>
      <c r="D6" s="282" t="str">
        <f>'Kops a'!D7</f>
        <v>Daudzdzīvokļu dzīvojamās ēkas vienkāršota fasādes atjaunošana.</v>
      </c>
      <c r="E6" s="282"/>
      <c r="F6" s="282"/>
      <c r="G6" s="282"/>
      <c r="H6" s="282"/>
      <c r="I6" s="282"/>
      <c r="J6" s="282"/>
      <c r="K6" s="282"/>
      <c r="L6" s="282"/>
      <c r="M6" s="64"/>
      <c r="N6" s="64"/>
      <c r="O6" s="64"/>
      <c r="P6" s="64"/>
    </row>
    <row r="7" spans="1:16" x14ac:dyDescent="0.2">
      <c r="A7" s="65"/>
      <c r="B7" s="65"/>
      <c r="C7" s="66" t="s">
        <v>7</v>
      </c>
      <c r="D7" s="282" t="str">
        <f>'Kops a'!D8</f>
        <v>Smilšu iela 42, k-1, Tukums</v>
      </c>
      <c r="E7" s="282"/>
      <c r="F7" s="282"/>
      <c r="G7" s="282"/>
      <c r="H7" s="282"/>
      <c r="I7" s="282"/>
      <c r="J7" s="282"/>
      <c r="K7" s="282"/>
      <c r="L7" s="282"/>
      <c r="M7" s="64"/>
      <c r="N7" s="64"/>
      <c r="O7" s="64"/>
      <c r="P7" s="64"/>
    </row>
    <row r="8" spans="1:16" x14ac:dyDescent="0.2">
      <c r="A8" s="65"/>
      <c r="B8" s="65"/>
      <c r="C8" s="42" t="s">
        <v>20</v>
      </c>
      <c r="D8" s="282" t="str">
        <f>'Kops a'!D9</f>
        <v xml:space="preserve"> </v>
      </c>
      <c r="E8" s="282"/>
      <c r="F8" s="282"/>
      <c r="G8" s="282"/>
      <c r="H8" s="282"/>
      <c r="I8" s="282"/>
      <c r="J8" s="282"/>
      <c r="K8" s="282"/>
      <c r="L8" s="282"/>
      <c r="M8" s="64"/>
      <c r="N8" s="64"/>
      <c r="O8" s="64"/>
      <c r="P8" s="64"/>
    </row>
    <row r="9" spans="1:16" ht="11.25" customHeight="1" x14ac:dyDescent="0.2">
      <c r="A9" s="270" t="s">
        <v>293</v>
      </c>
      <c r="B9" s="270"/>
      <c r="C9" s="270"/>
      <c r="D9" s="270"/>
      <c r="E9" s="270"/>
      <c r="F9" s="270"/>
      <c r="G9" s="72"/>
      <c r="H9" s="72"/>
      <c r="I9" s="72"/>
      <c r="J9" s="274" t="s">
        <v>39</v>
      </c>
      <c r="K9" s="274"/>
      <c r="L9" s="274"/>
      <c r="M9" s="274"/>
      <c r="N9" s="281">
        <f>P28</f>
        <v>0</v>
      </c>
      <c r="O9" s="281"/>
      <c r="P9" s="72"/>
    </row>
    <row r="10" spans="1:16" x14ac:dyDescent="0.2">
      <c r="A10" s="73"/>
      <c r="B10" s="74"/>
      <c r="C10" s="42"/>
      <c r="D10" s="65"/>
      <c r="E10" s="65"/>
      <c r="F10" s="65"/>
      <c r="G10" s="65"/>
      <c r="H10" s="65"/>
      <c r="I10" s="65"/>
      <c r="J10" s="65"/>
      <c r="K10" s="65"/>
      <c r="L10" s="70"/>
      <c r="M10" s="70"/>
      <c r="O10" s="127"/>
      <c r="P10" s="76" t="str">
        <f>A32</f>
        <v>Tāme sastādīta 2021. gada 13. maijā</v>
      </c>
    </row>
    <row r="11" spans="1:16" ht="12" thickBot="1" x14ac:dyDescent="0.25">
      <c r="A11" s="73"/>
      <c r="B11" s="74"/>
      <c r="C11" s="42"/>
      <c r="D11" s="65"/>
      <c r="E11" s="65"/>
      <c r="F11" s="65"/>
      <c r="G11" s="65"/>
      <c r="H11" s="65"/>
      <c r="I11" s="65"/>
      <c r="J11" s="65"/>
      <c r="K11" s="65"/>
      <c r="L11" s="77"/>
      <c r="M11" s="77"/>
      <c r="N11" s="78"/>
      <c r="O11" s="68"/>
      <c r="P11" s="65"/>
    </row>
    <row r="12" spans="1:16" x14ac:dyDescent="0.2">
      <c r="A12" s="244" t="s">
        <v>23</v>
      </c>
      <c r="B12" s="276" t="s">
        <v>40</v>
      </c>
      <c r="C12" s="272" t="s">
        <v>41</v>
      </c>
      <c r="D12" s="279" t="s">
        <v>42</v>
      </c>
      <c r="E12" s="283" t="s">
        <v>43</v>
      </c>
      <c r="F12" s="271" t="s">
        <v>44</v>
      </c>
      <c r="G12" s="272"/>
      <c r="H12" s="272"/>
      <c r="I12" s="272"/>
      <c r="J12" s="272"/>
      <c r="K12" s="273"/>
      <c r="L12" s="271" t="s">
        <v>45</v>
      </c>
      <c r="M12" s="272"/>
      <c r="N12" s="272"/>
      <c r="O12" s="272"/>
      <c r="P12" s="273"/>
    </row>
    <row r="13" spans="1:16" ht="90.75" customHeight="1" thickBot="1" x14ac:dyDescent="0.25">
      <c r="A13" s="275"/>
      <c r="B13" s="277"/>
      <c r="C13" s="278"/>
      <c r="D13" s="280"/>
      <c r="E13" s="284"/>
      <c r="F13" s="79" t="s">
        <v>46</v>
      </c>
      <c r="G13" s="80" t="s">
        <v>47</v>
      </c>
      <c r="H13" s="80" t="s">
        <v>48</v>
      </c>
      <c r="I13" s="80" t="s">
        <v>49</v>
      </c>
      <c r="J13" s="80" t="s">
        <v>50</v>
      </c>
      <c r="K13" s="81" t="s">
        <v>51</v>
      </c>
      <c r="L13" s="79" t="s">
        <v>46</v>
      </c>
      <c r="M13" s="80" t="s">
        <v>48</v>
      </c>
      <c r="N13" s="80" t="s">
        <v>49</v>
      </c>
      <c r="O13" s="80" t="s">
        <v>50</v>
      </c>
      <c r="P13" s="81" t="s">
        <v>51</v>
      </c>
    </row>
    <row r="14" spans="1:16" x14ac:dyDescent="0.2">
      <c r="A14" s="82">
        <f>IF(E14&gt;0,IF(E14&gt;0,1+MAX(A13),0),0)</f>
        <v>1</v>
      </c>
      <c r="B14" s="83"/>
      <c r="C14" s="89" t="s">
        <v>64</v>
      </c>
      <c r="D14" s="128" t="s">
        <v>65</v>
      </c>
      <c r="E14" s="202">
        <v>182</v>
      </c>
      <c r="F14" s="86"/>
      <c r="G14" s="87"/>
      <c r="H14" s="87"/>
      <c r="I14" s="87"/>
      <c r="J14" s="87"/>
      <c r="K14" s="88"/>
      <c r="L14" s="86"/>
      <c r="M14" s="87"/>
      <c r="N14" s="87"/>
      <c r="O14" s="87"/>
      <c r="P14" s="88"/>
    </row>
    <row r="15" spans="1:16" x14ac:dyDescent="0.2">
      <c r="A15" s="82">
        <f>IF(E15&gt;0,IF(E15&gt;0,1+MAX(A14),0),0)</f>
        <v>2</v>
      </c>
      <c r="B15" s="89"/>
      <c r="C15" s="89" t="s">
        <v>66</v>
      </c>
      <c r="D15" s="128" t="s">
        <v>67</v>
      </c>
      <c r="E15" s="202">
        <v>1</v>
      </c>
      <c r="F15" s="86"/>
      <c r="G15" s="87"/>
      <c r="H15" s="87"/>
      <c r="I15" s="87"/>
      <c r="J15" s="87"/>
      <c r="K15" s="88"/>
      <c r="L15" s="92"/>
      <c r="M15" s="93"/>
      <c r="N15" s="93"/>
      <c r="O15" s="93"/>
      <c r="P15" s="91"/>
    </row>
    <row r="16" spans="1:16" x14ac:dyDescent="0.2">
      <c r="A16" s="82">
        <f>IF(E16&gt;0,IF(E16&gt;0,1+MAX($A$14:A15),0),0)</f>
        <v>3</v>
      </c>
      <c r="B16" s="89"/>
      <c r="C16" s="89" t="s">
        <v>378</v>
      </c>
      <c r="D16" s="128" t="s">
        <v>67</v>
      </c>
      <c r="E16" s="202">
        <v>1</v>
      </c>
      <c r="F16" s="86"/>
      <c r="G16" s="87"/>
      <c r="H16" s="87"/>
      <c r="I16" s="87"/>
      <c r="J16" s="87"/>
      <c r="K16" s="88"/>
      <c r="L16" s="92"/>
      <c r="M16" s="93"/>
      <c r="N16" s="93"/>
      <c r="O16" s="93"/>
      <c r="P16" s="91"/>
    </row>
    <row r="17" spans="1:16" x14ac:dyDescent="0.2">
      <c r="A17" s="82">
        <f>IF(E17&gt;0,IF(E17&gt;0,1+MAX($A$14:A16),0),0)</f>
        <v>4</v>
      </c>
      <c r="B17" s="89"/>
      <c r="C17" s="89" t="s">
        <v>68</v>
      </c>
      <c r="D17" s="128" t="s">
        <v>67</v>
      </c>
      <c r="E17" s="202">
        <v>1</v>
      </c>
      <c r="F17" s="86"/>
      <c r="G17" s="87"/>
      <c r="H17" s="87"/>
      <c r="I17" s="87"/>
      <c r="J17" s="87"/>
      <c r="K17" s="88"/>
      <c r="L17" s="92"/>
      <c r="M17" s="93"/>
      <c r="N17" s="93"/>
      <c r="O17" s="93"/>
      <c r="P17" s="91"/>
    </row>
    <row r="18" spans="1:16" x14ac:dyDescent="0.2">
      <c r="A18" s="82">
        <f>IF(E18&gt;0,IF(E18&gt;0,1+MAX($A$14:A17),0),0)</f>
        <v>5</v>
      </c>
      <c r="B18" s="89"/>
      <c r="C18" s="89" t="s">
        <v>69</v>
      </c>
      <c r="D18" s="128" t="s">
        <v>67</v>
      </c>
      <c r="E18" s="202">
        <v>1</v>
      </c>
      <c r="F18" s="86"/>
      <c r="G18" s="87"/>
      <c r="H18" s="87"/>
      <c r="I18" s="87"/>
      <c r="J18" s="87"/>
      <c r="K18" s="88"/>
      <c r="L18" s="92"/>
      <c r="M18" s="93"/>
      <c r="N18" s="93"/>
      <c r="O18" s="93"/>
      <c r="P18" s="91"/>
    </row>
    <row r="19" spans="1:16" x14ac:dyDescent="0.2">
      <c r="A19" s="82">
        <f>IF(E19&gt;0,IF(E19&gt;0,1+MAX($A$14:A18),0),0)</f>
        <v>6</v>
      </c>
      <c r="B19" s="89"/>
      <c r="C19" s="89" t="s">
        <v>377</v>
      </c>
      <c r="D19" s="128" t="s">
        <v>67</v>
      </c>
      <c r="E19" s="202">
        <v>1</v>
      </c>
      <c r="F19" s="86"/>
      <c r="G19" s="87"/>
      <c r="H19" s="87"/>
      <c r="I19" s="87"/>
      <c r="J19" s="87"/>
      <c r="K19" s="88"/>
      <c r="L19" s="92"/>
      <c r="M19" s="93"/>
      <c r="N19" s="93"/>
      <c r="O19" s="93"/>
      <c r="P19" s="91"/>
    </row>
    <row r="20" spans="1:16" x14ac:dyDescent="0.2">
      <c r="A20" s="82">
        <f>IF(E20&gt;0,IF(E20&gt;0,1+MAX($A$14:A19),0),0)</f>
        <v>7</v>
      </c>
      <c r="B20" s="89"/>
      <c r="C20" s="89" t="s">
        <v>70</v>
      </c>
      <c r="D20" s="128" t="s">
        <v>67</v>
      </c>
      <c r="E20" s="202">
        <v>3</v>
      </c>
      <c r="F20" s="86"/>
      <c r="G20" s="87"/>
      <c r="H20" s="87"/>
      <c r="I20" s="87"/>
      <c r="J20" s="87"/>
      <c r="K20" s="88"/>
      <c r="L20" s="92"/>
      <c r="M20" s="93"/>
      <c r="N20" s="93"/>
      <c r="O20" s="93"/>
      <c r="P20" s="91"/>
    </row>
    <row r="21" spans="1:16" x14ac:dyDescent="0.2">
      <c r="A21" s="82">
        <f>IF(E21&gt;0,IF(E21&gt;0,1+MAX($A$14:A20),0),0)</f>
        <v>8</v>
      </c>
      <c r="B21" s="89"/>
      <c r="C21" s="89" t="s">
        <v>379</v>
      </c>
      <c r="D21" s="128" t="s">
        <v>67</v>
      </c>
      <c r="E21" s="202">
        <v>1</v>
      </c>
      <c r="F21" s="86"/>
      <c r="G21" s="87"/>
      <c r="H21" s="87"/>
      <c r="I21" s="87"/>
      <c r="J21" s="87"/>
      <c r="K21" s="88"/>
      <c r="L21" s="92"/>
      <c r="M21" s="93"/>
      <c r="N21" s="93"/>
      <c r="O21" s="93"/>
      <c r="P21" s="91"/>
    </row>
    <row r="22" spans="1:16" x14ac:dyDescent="0.2">
      <c r="A22" s="82">
        <f>IF(E22&gt;0,IF(E22&gt;0,1+MAX($A$14:A21),0),0)</f>
        <v>9</v>
      </c>
      <c r="B22" s="89"/>
      <c r="C22" s="89" t="s">
        <v>71</v>
      </c>
      <c r="D22" s="128" t="s">
        <v>67</v>
      </c>
      <c r="E22" s="202">
        <v>1</v>
      </c>
      <c r="F22" s="86"/>
      <c r="G22" s="87"/>
      <c r="H22" s="87"/>
      <c r="I22" s="87"/>
      <c r="J22" s="87"/>
      <c r="K22" s="88"/>
      <c r="L22" s="92"/>
      <c r="M22" s="93"/>
      <c r="N22" s="93"/>
      <c r="O22" s="93"/>
      <c r="P22" s="91"/>
    </row>
    <row r="23" spans="1:16" x14ac:dyDescent="0.2">
      <c r="A23" s="82">
        <f>IF(E23&gt;0,IF(E23&gt;0,1+MAX($A$14:A22),0),0)</f>
        <v>10</v>
      </c>
      <c r="B23" s="89"/>
      <c r="C23" s="89" t="s">
        <v>72</v>
      </c>
      <c r="D23" s="128" t="s">
        <v>265</v>
      </c>
      <c r="E23" s="202">
        <v>1</v>
      </c>
      <c r="F23" s="86"/>
      <c r="G23" s="87"/>
      <c r="H23" s="87"/>
      <c r="I23" s="87"/>
      <c r="J23" s="87"/>
      <c r="K23" s="88"/>
      <c r="L23" s="92"/>
      <c r="M23" s="93"/>
      <c r="N23" s="93"/>
      <c r="O23" s="93"/>
      <c r="P23" s="91"/>
    </row>
    <row r="24" spans="1:16" x14ac:dyDescent="0.2">
      <c r="A24" s="82">
        <f>IF(E24&gt;0,IF(E24&gt;0,1+MAX($A$14:A23),0),0)</f>
        <v>11</v>
      </c>
      <c r="B24" s="89"/>
      <c r="C24" s="89" t="s">
        <v>74</v>
      </c>
      <c r="D24" s="128" t="s">
        <v>75</v>
      </c>
      <c r="E24" s="202">
        <v>1</v>
      </c>
      <c r="F24" s="86"/>
      <c r="G24" s="87"/>
      <c r="H24" s="87"/>
      <c r="I24" s="87"/>
      <c r="J24" s="87"/>
      <c r="K24" s="88"/>
      <c r="L24" s="92"/>
      <c r="M24" s="93"/>
      <c r="N24" s="93"/>
      <c r="O24" s="93"/>
      <c r="P24" s="91"/>
    </row>
    <row r="25" spans="1:16" x14ac:dyDescent="0.2">
      <c r="A25" s="82">
        <f>IF(E25&gt;0,IF(E25&gt;0,1+MAX($A$14:A24),0),0)</f>
        <v>12</v>
      </c>
      <c r="B25" s="89"/>
      <c r="C25" s="89" t="s">
        <v>76</v>
      </c>
      <c r="D25" s="128" t="s">
        <v>75</v>
      </c>
      <c r="E25" s="202">
        <v>1</v>
      </c>
      <c r="F25" s="86"/>
      <c r="G25" s="87"/>
      <c r="H25" s="87"/>
      <c r="I25" s="87"/>
      <c r="J25" s="87"/>
      <c r="K25" s="88"/>
      <c r="L25" s="92"/>
      <c r="M25" s="93"/>
      <c r="N25" s="93"/>
      <c r="O25" s="93"/>
      <c r="P25" s="91"/>
    </row>
    <row r="26" spans="1:16" x14ac:dyDescent="0.2">
      <c r="A26" s="82">
        <f>IF(E26&gt;0,IF(E26&gt;0,1+MAX($A$14:A25),0),0)</f>
        <v>13</v>
      </c>
      <c r="B26" s="89"/>
      <c r="C26" s="89" t="s">
        <v>77</v>
      </c>
      <c r="D26" s="128" t="s">
        <v>67</v>
      </c>
      <c r="E26" s="202">
        <v>1</v>
      </c>
      <c r="F26" s="86"/>
      <c r="G26" s="87"/>
      <c r="H26" s="87"/>
      <c r="I26" s="87"/>
      <c r="J26" s="87"/>
      <c r="K26" s="88"/>
      <c r="L26" s="92"/>
      <c r="M26" s="93"/>
      <c r="N26" s="93"/>
      <c r="O26" s="93"/>
      <c r="P26" s="91"/>
    </row>
    <row r="27" spans="1:16" ht="12" thickBot="1" x14ac:dyDescent="0.25">
      <c r="A27" s="82">
        <f>IF(E27&gt;0,IF(E27&gt;0,1+MAX($A$14:A26),0),0)</f>
        <v>14</v>
      </c>
      <c r="B27" s="89"/>
      <c r="C27" s="129" t="s">
        <v>78</v>
      </c>
      <c r="D27" s="130" t="s">
        <v>67</v>
      </c>
      <c r="E27" s="203">
        <v>1</v>
      </c>
      <c r="F27" s="86"/>
      <c r="G27" s="87"/>
      <c r="H27" s="87"/>
      <c r="I27" s="87"/>
      <c r="J27" s="87"/>
      <c r="K27" s="88"/>
      <c r="L27" s="92"/>
      <c r="M27" s="93"/>
      <c r="N27" s="93"/>
      <c r="O27" s="93"/>
      <c r="P27" s="91"/>
    </row>
    <row r="28" spans="1:16" ht="12" customHeight="1" thickBot="1" x14ac:dyDescent="0.25">
      <c r="A28" s="286" t="s">
        <v>278</v>
      </c>
      <c r="B28" s="287"/>
      <c r="C28" s="287"/>
      <c r="D28" s="287"/>
      <c r="E28" s="287"/>
      <c r="F28" s="287"/>
      <c r="G28" s="287"/>
      <c r="H28" s="287"/>
      <c r="I28" s="287"/>
      <c r="J28" s="287"/>
      <c r="K28" s="288"/>
      <c r="L28" s="95">
        <f>SUM(L14:L27)</f>
        <v>0</v>
      </c>
      <c r="M28" s="96">
        <f>SUM(M14:M27)</f>
        <v>0</v>
      </c>
      <c r="N28" s="96">
        <f>SUM(N14:N27)</f>
        <v>0</v>
      </c>
      <c r="O28" s="96">
        <f>SUM(O14:O27)</f>
        <v>0</v>
      </c>
      <c r="P28" s="97">
        <f>SUM(P14:P27)</f>
        <v>0</v>
      </c>
    </row>
    <row r="29" spans="1:16" x14ac:dyDescent="0.2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</row>
    <row r="30" spans="1:16" x14ac:dyDescent="0.2">
      <c r="A30" s="39" t="s">
        <v>14</v>
      </c>
      <c r="B30" s="64"/>
      <c r="C30" s="285" t="str">
        <f>'Kops a'!C33:H33</f>
        <v>Armands Ūbelis</v>
      </c>
      <c r="D30" s="285"/>
      <c r="E30" s="285"/>
      <c r="F30" s="285"/>
      <c r="G30" s="285"/>
      <c r="H30" s="285"/>
      <c r="I30" s="64"/>
      <c r="J30" s="64"/>
      <c r="K30" s="64"/>
      <c r="L30" s="64"/>
      <c r="M30" s="64"/>
      <c r="N30" s="64"/>
      <c r="O30" s="64"/>
      <c r="P30" s="64"/>
    </row>
    <row r="31" spans="1:16" x14ac:dyDescent="0.2">
      <c r="A31" s="64"/>
      <c r="B31" s="64"/>
      <c r="C31" s="222" t="s">
        <v>15</v>
      </c>
      <c r="D31" s="222"/>
      <c r="E31" s="222"/>
      <c r="F31" s="222"/>
      <c r="G31" s="222"/>
      <c r="H31" s="222"/>
      <c r="I31" s="64"/>
      <c r="J31" s="64"/>
      <c r="K31" s="64"/>
      <c r="L31" s="64"/>
      <c r="M31" s="64"/>
      <c r="N31" s="64"/>
      <c r="O31" s="64"/>
      <c r="P31" s="64"/>
    </row>
    <row r="32" spans="1:16" x14ac:dyDescent="0.2">
      <c r="A32" s="98" t="str">
        <f>'Kops a'!A36</f>
        <v>Tāme sastādīta 2021. gada 13. maijā</v>
      </c>
      <c r="B32" s="99"/>
      <c r="C32" s="99"/>
      <c r="D32" s="99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</row>
    <row r="33" spans="1:16" x14ac:dyDescent="0.2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</row>
    <row r="34" spans="1:16" x14ac:dyDescent="0.2">
      <c r="A34" s="39" t="s">
        <v>37</v>
      </c>
      <c r="B34" s="64"/>
      <c r="C34" s="285" t="str">
        <f>'Kops a'!C38:H38</f>
        <v xml:space="preserve"> </v>
      </c>
      <c r="D34" s="285"/>
      <c r="E34" s="285"/>
      <c r="F34" s="285"/>
      <c r="G34" s="285"/>
      <c r="H34" s="285"/>
      <c r="I34" s="64"/>
      <c r="J34" s="64"/>
      <c r="K34" s="64"/>
      <c r="L34" s="64"/>
      <c r="M34" s="64"/>
      <c r="N34" s="64"/>
      <c r="O34" s="64"/>
      <c r="P34" s="64"/>
    </row>
    <row r="35" spans="1:16" x14ac:dyDescent="0.2">
      <c r="A35" s="64"/>
      <c r="B35" s="64"/>
      <c r="C35" s="222" t="s">
        <v>15</v>
      </c>
      <c r="D35" s="222"/>
      <c r="E35" s="222"/>
      <c r="F35" s="222"/>
      <c r="G35" s="222"/>
      <c r="H35" s="222"/>
      <c r="I35" s="64"/>
      <c r="J35" s="64"/>
      <c r="K35" s="64"/>
      <c r="L35" s="64"/>
      <c r="M35" s="64"/>
      <c r="N35" s="64"/>
      <c r="O35" s="64"/>
      <c r="P35" s="64"/>
    </row>
    <row r="36" spans="1:16" x14ac:dyDescent="0.2">
      <c r="A36" s="98" t="s">
        <v>54</v>
      </c>
      <c r="B36" s="99"/>
      <c r="C36" s="100" t="str">
        <f>'Kops a'!C41</f>
        <v>4-02608</v>
      </c>
      <c r="D36" s="101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</row>
    <row r="37" spans="1:16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</row>
  </sheetData>
  <mergeCells count="22">
    <mergeCell ref="E12:E13"/>
    <mergeCell ref="C34:H34"/>
    <mergeCell ref="C35:H35"/>
    <mergeCell ref="C30:H30"/>
    <mergeCell ref="C31:H31"/>
    <mergeCell ref="A28:K28"/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</mergeCells>
  <conditionalFormatting sqref="A14:G14 I14:J14 A15:E27">
    <cfRule type="cellIs" dxfId="227" priority="24" operator="equal">
      <formula>0</formula>
    </cfRule>
  </conditionalFormatting>
  <conditionalFormatting sqref="N9:O9 L15:P28">
    <cfRule type="cellIs" dxfId="226" priority="22" operator="equal">
      <formula>0</formula>
    </cfRule>
  </conditionalFormatting>
  <conditionalFormatting sqref="A9:F9">
    <cfRule type="containsText" dxfId="225" priority="20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224" priority="19" operator="equal">
      <formula>0</formula>
    </cfRule>
  </conditionalFormatting>
  <conditionalFormatting sqref="O10:P10">
    <cfRule type="cellIs" dxfId="223" priority="18" operator="equal">
      <formula>"20__. gada __. _________"</formula>
    </cfRule>
  </conditionalFormatting>
  <conditionalFormatting sqref="C34:H34">
    <cfRule type="cellIs" dxfId="222" priority="13" operator="equal">
      <formula>0</formula>
    </cfRule>
  </conditionalFormatting>
  <conditionalFormatting sqref="C30:H30">
    <cfRule type="cellIs" dxfId="221" priority="12" operator="equal">
      <formula>0</formula>
    </cfRule>
  </conditionalFormatting>
  <conditionalFormatting sqref="H14 K14:P14">
    <cfRule type="cellIs" dxfId="220" priority="11" operator="equal">
      <formula>0</formula>
    </cfRule>
  </conditionalFormatting>
  <conditionalFormatting sqref="C4:I4">
    <cfRule type="cellIs" dxfId="219" priority="10" operator="equal">
      <formula>0</formula>
    </cfRule>
  </conditionalFormatting>
  <conditionalFormatting sqref="D5:L8">
    <cfRule type="cellIs" dxfId="218" priority="8" operator="equal">
      <formula>0</formula>
    </cfRule>
  </conditionalFormatting>
  <conditionalFormatting sqref="C34:H34 C36 C30:H30">
    <cfRule type="cellIs" dxfId="217" priority="7" operator="equal">
      <formula>0</formula>
    </cfRule>
  </conditionalFormatting>
  <conditionalFormatting sqref="D1">
    <cfRule type="cellIs" dxfId="216" priority="6" operator="equal">
      <formula>0</formula>
    </cfRule>
  </conditionalFormatting>
  <conditionalFormatting sqref="A28:K28">
    <cfRule type="containsText" dxfId="215" priority="5" operator="containsText" text="Tiešās izmaksas kopā, t. sk. darba devēja sociālais nodoklis __.__% ">
      <formula>NOT(ISERROR(SEARCH("Tiešās izmaksas kopā, t. sk. darba devēja sociālais nodoklis __.__% ",A28)))</formula>
    </cfRule>
  </conditionalFormatting>
  <conditionalFormatting sqref="F15:G27 I15:J27">
    <cfRule type="cellIs" dxfId="214" priority="2" operator="equal">
      <formula>0</formula>
    </cfRule>
  </conditionalFormatting>
  <conditionalFormatting sqref="H15:H27 K15:K27">
    <cfRule type="cellIs" dxfId="213" priority="1" operator="equal">
      <formula>0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BC596309-6EE4-47E0-A590-F3D2F6DA868B}">
            <xm:f>NOT(ISERROR(SEARCH("Tāme sastādīta ____. gada ___. ______________",A32)))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14" operator="containsText" id="{A5053C80-E745-4777-A201-BBBD02E74FC0}">
            <xm:f>NOT(ISERROR(SEARCH("Sertifikāta Nr. _________________________________",A36)))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T125"/>
  <sheetViews>
    <sheetView topLeftCell="A6" zoomScaleNormal="100" workbookViewId="0">
      <selection activeCell="F15" sqref="F15:P115"/>
    </sheetView>
  </sheetViews>
  <sheetFormatPr defaultColWidth="9.140625" defaultRowHeight="11.25" x14ac:dyDescent="0.2"/>
  <cols>
    <col min="1" max="1" width="4.5703125" style="39" customWidth="1"/>
    <col min="2" max="2" width="5.28515625" style="39" customWidth="1"/>
    <col min="3" max="3" width="38.42578125" style="39" customWidth="1"/>
    <col min="4" max="4" width="5.85546875" style="39" customWidth="1"/>
    <col min="5" max="5" width="8.7109375" style="39" customWidth="1"/>
    <col min="6" max="6" width="5.42578125" style="39" customWidth="1"/>
    <col min="7" max="7" width="4.85546875" style="39" customWidth="1"/>
    <col min="8" max="10" width="6.7109375" style="39" customWidth="1"/>
    <col min="11" max="11" width="7" style="39" customWidth="1"/>
    <col min="12" max="15" width="7.7109375" style="39" customWidth="1"/>
    <col min="16" max="16" width="9" style="39" customWidth="1"/>
    <col min="17" max="16384" width="9.140625" style="39"/>
  </cols>
  <sheetData>
    <row r="1" spans="1:20" x14ac:dyDescent="0.2">
      <c r="A1" s="65"/>
      <c r="B1" s="65"/>
      <c r="C1" s="66" t="s">
        <v>38</v>
      </c>
      <c r="D1" s="67">
        <f>'Kops a'!A16</f>
        <v>0</v>
      </c>
      <c r="E1" s="65"/>
      <c r="F1" s="65"/>
      <c r="G1" s="65"/>
      <c r="H1" s="65"/>
      <c r="I1" s="65"/>
      <c r="J1" s="65"/>
      <c r="N1" s="68"/>
      <c r="O1" s="66"/>
      <c r="P1" s="69"/>
    </row>
    <row r="2" spans="1:20" x14ac:dyDescent="0.2">
      <c r="A2" s="70"/>
      <c r="B2" s="70"/>
      <c r="C2" s="268" t="s">
        <v>57</v>
      </c>
      <c r="D2" s="268"/>
      <c r="E2" s="268"/>
      <c r="F2" s="268"/>
      <c r="G2" s="268"/>
      <c r="H2" s="268"/>
      <c r="I2" s="268"/>
      <c r="J2" s="70"/>
    </row>
    <row r="3" spans="1:20" x14ac:dyDescent="0.2">
      <c r="A3" s="71"/>
      <c r="B3" s="71"/>
      <c r="C3" s="231" t="s">
        <v>17</v>
      </c>
      <c r="D3" s="231"/>
      <c r="E3" s="231"/>
      <c r="F3" s="231"/>
      <c r="G3" s="231"/>
      <c r="H3" s="231"/>
      <c r="I3" s="231"/>
      <c r="J3" s="71"/>
    </row>
    <row r="4" spans="1:20" x14ac:dyDescent="0.2">
      <c r="A4" s="71"/>
      <c r="B4" s="71"/>
      <c r="C4" s="269" t="s">
        <v>52</v>
      </c>
      <c r="D4" s="269"/>
      <c r="E4" s="269"/>
      <c r="F4" s="269"/>
      <c r="G4" s="269"/>
      <c r="H4" s="269"/>
      <c r="I4" s="269"/>
      <c r="J4" s="71"/>
    </row>
    <row r="5" spans="1:20" x14ac:dyDescent="0.2">
      <c r="A5" s="65"/>
      <c r="B5" s="65"/>
      <c r="C5" s="66" t="s">
        <v>5</v>
      </c>
      <c r="D5" s="282" t="str">
        <f>'Kops a'!D6</f>
        <v>Daudzdzīvokļu dzīvojamās ēkas vienkāršota fasādes atjaunošana.</v>
      </c>
      <c r="E5" s="282"/>
      <c r="F5" s="282"/>
      <c r="G5" s="282"/>
      <c r="H5" s="282"/>
      <c r="I5" s="282"/>
      <c r="J5" s="282"/>
      <c r="K5" s="282"/>
      <c r="L5" s="282"/>
      <c r="M5" s="64"/>
      <c r="N5" s="64"/>
      <c r="O5" s="64"/>
      <c r="P5" s="64"/>
    </row>
    <row r="6" spans="1:20" x14ac:dyDescent="0.2">
      <c r="A6" s="65"/>
      <c r="B6" s="65"/>
      <c r="C6" s="66" t="s">
        <v>6</v>
      </c>
      <c r="D6" s="282" t="str">
        <f>'Kops a'!D7</f>
        <v>Daudzdzīvokļu dzīvojamās ēkas vienkāršota fasādes atjaunošana.</v>
      </c>
      <c r="E6" s="282"/>
      <c r="F6" s="282"/>
      <c r="G6" s="282"/>
      <c r="H6" s="282"/>
      <c r="I6" s="282"/>
      <c r="J6" s="282"/>
      <c r="K6" s="282"/>
      <c r="L6" s="282"/>
      <c r="M6" s="64"/>
      <c r="N6" s="64"/>
      <c r="O6" s="64"/>
      <c r="P6" s="64"/>
    </row>
    <row r="7" spans="1:20" x14ac:dyDescent="0.2">
      <c r="A7" s="65"/>
      <c r="B7" s="65"/>
      <c r="C7" s="66" t="s">
        <v>7</v>
      </c>
      <c r="D7" s="282" t="str">
        <f>'Kops a'!D8</f>
        <v>Smilšu iela 42, k-1, Tukums</v>
      </c>
      <c r="E7" s="282"/>
      <c r="F7" s="282"/>
      <c r="G7" s="282"/>
      <c r="H7" s="282"/>
      <c r="I7" s="282"/>
      <c r="J7" s="282"/>
      <c r="K7" s="282"/>
      <c r="L7" s="282"/>
      <c r="M7" s="64"/>
      <c r="N7" s="64"/>
      <c r="O7" s="64"/>
      <c r="P7" s="64"/>
    </row>
    <row r="8" spans="1:20" x14ac:dyDescent="0.2">
      <c r="A8" s="65"/>
      <c r="B8" s="65"/>
      <c r="C8" s="205" t="s">
        <v>20</v>
      </c>
      <c r="D8" s="282" t="s">
        <v>215</v>
      </c>
      <c r="E8" s="282"/>
      <c r="F8" s="282"/>
      <c r="G8" s="282"/>
      <c r="H8" s="282"/>
      <c r="I8" s="282"/>
      <c r="J8" s="282"/>
      <c r="K8" s="282"/>
      <c r="L8" s="282"/>
      <c r="M8" s="64"/>
      <c r="N8" s="64"/>
      <c r="O8" s="64"/>
      <c r="P8" s="64"/>
    </row>
    <row r="9" spans="1:20" ht="11.25" customHeight="1" x14ac:dyDescent="0.2">
      <c r="A9" s="270" t="s">
        <v>293</v>
      </c>
      <c r="B9" s="270"/>
      <c r="C9" s="270"/>
      <c r="D9" s="270"/>
      <c r="E9" s="270"/>
      <c r="F9" s="270"/>
      <c r="G9" s="72"/>
      <c r="H9" s="72"/>
      <c r="I9" s="72"/>
      <c r="J9" s="274" t="s">
        <v>39</v>
      </c>
      <c r="K9" s="274"/>
      <c r="L9" s="274"/>
      <c r="M9" s="274"/>
      <c r="N9" s="281">
        <f>P116</f>
        <v>0</v>
      </c>
      <c r="O9" s="281"/>
      <c r="P9" s="72"/>
    </row>
    <row r="10" spans="1:20" x14ac:dyDescent="0.2">
      <c r="A10" s="73"/>
      <c r="B10" s="74"/>
      <c r="C10" s="205"/>
      <c r="D10" s="65"/>
      <c r="E10" s="65"/>
      <c r="F10" s="65"/>
      <c r="G10" s="65"/>
      <c r="H10" s="65"/>
      <c r="I10" s="65"/>
      <c r="J10" s="65"/>
      <c r="K10" s="65"/>
      <c r="L10" s="70"/>
      <c r="M10" s="70"/>
      <c r="O10" s="75"/>
      <c r="P10" s="76" t="str">
        <f>A120</f>
        <v>Tāme sastādīta 2021. gada 13. maijā</v>
      </c>
    </row>
    <row r="11" spans="1:20" ht="12" thickBot="1" x14ac:dyDescent="0.25">
      <c r="A11" s="73"/>
      <c r="B11" s="74"/>
      <c r="C11" s="205"/>
      <c r="D11" s="65"/>
      <c r="E11" s="65"/>
      <c r="F11" s="65"/>
      <c r="G11" s="65"/>
      <c r="H11" s="65"/>
      <c r="I11" s="65"/>
      <c r="J11" s="65"/>
      <c r="K11" s="65"/>
      <c r="L11" s="77"/>
      <c r="M11" s="77"/>
      <c r="N11" s="78"/>
      <c r="O11" s="68"/>
      <c r="P11" s="65"/>
    </row>
    <row r="12" spans="1:20" x14ac:dyDescent="0.2">
      <c r="A12" s="244" t="s">
        <v>23</v>
      </c>
      <c r="B12" s="276" t="s">
        <v>40</v>
      </c>
      <c r="C12" s="272" t="s">
        <v>41</v>
      </c>
      <c r="D12" s="279" t="s">
        <v>42</v>
      </c>
      <c r="E12" s="283" t="s">
        <v>43</v>
      </c>
      <c r="F12" s="271" t="s">
        <v>44</v>
      </c>
      <c r="G12" s="272"/>
      <c r="H12" s="272"/>
      <c r="I12" s="272"/>
      <c r="J12" s="272"/>
      <c r="K12" s="273"/>
      <c r="L12" s="271" t="s">
        <v>45</v>
      </c>
      <c r="M12" s="272"/>
      <c r="N12" s="272"/>
      <c r="O12" s="272"/>
      <c r="P12" s="273"/>
    </row>
    <row r="13" spans="1:20" ht="126.75" customHeight="1" thickBot="1" x14ac:dyDescent="0.25">
      <c r="A13" s="275"/>
      <c r="B13" s="277"/>
      <c r="C13" s="278"/>
      <c r="D13" s="280"/>
      <c r="E13" s="284"/>
      <c r="F13" s="208" t="s">
        <v>46</v>
      </c>
      <c r="G13" s="209" t="s">
        <v>47</v>
      </c>
      <c r="H13" s="209" t="s">
        <v>48</v>
      </c>
      <c r="I13" s="209" t="s">
        <v>49</v>
      </c>
      <c r="J13" s="209" t="s">
        <v>50</v>
      </c>
      <c r="K13" s="81" t="s">
        <v>51</v>
      </c>
      <c r="L13" s="208" t="s">
        <v>46</v>
      </c>
      <c r="M13" s="209" t="s">
        <v>48</v>
      </c>
      <c r="N13" s="209" t="s">
        <v>49</v>
      </c>
      <c r="O13" s="209" t="s">
        <v>50</v>
      </c>
      <c r="P13" s="81" t="s">
        <v>51</v>
      </c>
    </row>
    <row r="14" spans="1:20" x14ac:dyDescent="0.2">
      <c r="A14" s="82">
        <f>IF(E14&gt;0,IF(E14&gt;0,1+MAX(A13),0),0)</f>
        <v>0</v>
      </c>
      <c r="B14" s="83"/>
      <c r="C14" s="180" t="s">
        <v>298</v>
      </c>
      <c r="D14" s="114"/>
      <c r="E14" s="115"/>
      <c r="F14" s="86"/>
      <c r="G14" s="87"/>
      <c r="H14" s="87"/>
      <c r="I14" s="87"/>
      <c r="J14" s="87"/>
      <c r="K14" s="88"/>
      <c r="L14" s="86"/>
      <c r="M14" s="87"/>
      <c r="N14" s="87"/>
      <c r="O14" s="87"/>
      <c r="P14" s="88"/>
      <c r="T14" s="158"/>
    </row>
    <row r="15" spans="1:20" x14ac:dyDescent="0.2">
      <c r="A15" s="82">
        <f>IF(E15&gt;0,IF(E15&gt;0,1+MAX(A14),0),0)</f>
        <v>1</v>
      </c>
      <c r="B15" s="83"/>
      <c r="C15" s="84" t="s">
        <v>301</v>
      </c>
      <c r="D15" s="114" t="s">
        <v>73</v>
      </c>
      <c r="E15" s="115">
        <v>777.16</v>
      </c>
      <c r="F15" s="86"/>
      <c r="G15" s="87"/>
      <c r="H15" s="87"/>
      <c r="I15" s="87"/>
      <c r="J15" s="87"/>
      <c r="K15" s="88"/>
      <c r="L15" s="86"/>
      <c r="M15" s="87"/>
      <c r="N15" s="87"/>
      <c r="O15" s="87"/>
      <c r="P15" s="88"/>
      <c r="T15" s="158"/>
    </row>
    <row r="16" spans="1:20" x14ac:dyDescent="0.2">
      <c r="A16" s="82">
        <f t="shared" ref="A16:A39" si="0">IF(E16&gt;0,IF(E16&gt;0,1+MAX(A15),0),0)</f>
        <v>2</v>
      </c>
      <c r="B16" s="89"/>
      <c r="C16" s="84" t="s">
        <v>79</v>
      </c>
      <c r="D16" s="114" t="s">
        <v>65</v>
      </c>
      <c r="E16" s="115">
        <f>11.57*4+49.68*2</f>
        <v>145.63999999999999</v>
      </c>
      <c r="F16" s="86"/>
      <c r="G16" s="87"/>
      <c r="H16" s="87"/>
      <c r="I16" s="87"/>
      <c r="J16" s="87"/>
      <c r="K16" s="91"/>
      <c r="L16" s="92"/>
      <c r="M16" s="93"/>
      <c r="N16" s="93"/>
      <c r="O16" s="93"/>
      <c r="P16" s="91"/>
      <c r="T16" s="158"/>
    </row>
    <row r="17" spans="1:20" ht="56.25" x14ac:dyDescent="0.2">
      <c r="A17" s="82">
        <f t="shared" si="0"/>
        <v>3</v>
      </c>
      <c r="B17" s="89"/>
      <c r="C17" s="84" t="s">
        <v>80</v>
      </c>
      <c r="D17" s="114" t="s">
        <v>73</v>
      </c>
      <c r="E17" s="115">
        <f>E15</f>
        <v>777.16</v>
      </c>
      <c r="F17" s="86"/>
      <c r="G17" s="87"/>
      <c r="H17" s="87"/>
      <c r="I17" s="87"/>
      <c r="J17" s="87"/>
      <c r="K17" s="91"/>
      <c r="L17" s="92"/>
      <c r="M17" s="93"/>
      <c r="N17" s="93"/>
      <c r="O17" s="93"/>
      <c r="P17" s="91"/>
      <c r="T17" s="158"/>
    </row>
    <row r="18" spans="1:20" ht="22.5" x14ac:dyDescent="0.2">
      <c r="A18" s="82">
        <f t="shared" si="0"/>
        <v>4</v>
      </c>
      <c r="B18" s="89"/>
      <c r="C18" s="84" t="s">
        <v>81</v>
      </c>
      <c r="D18" s="114" t="s">
        <v>73</v>
      </c>
      <c r="E18" s="115">
        <f>E17</f>
        <v>777.16</v>
      </c>
      <c r="F18" s="86"/>
      <c r="G18" s="87"/>
      <c r="H18" s="87"/>
      <c r="I18" s="87"/>
      <c r="J18" s="87"/>
      <c r="K18" s="91"/>
      <c r="L18" s="92"/>
      <c r="M18" s="93"/>
      <c r="N18" s="93"/>
      <c r="O18" s="93"/>
      <c r="P18" s="91"/>
      <c r="T18" s="158"/>
    </row>
    <row r="19" spans="1:20" x14ac:dyDescent="0.2">
      <c r="A19" s="82">
        <f t="shared" si="0"/>
        <v>5</v>
      </c>
      <c r="B19" s="89"/>
      <c r="C19" s="84" t="s">
        <v>302</v>
      </c>
      <c r="D19" s="114" t="s">
        <v>65</v>
      </c>
      <c r="E19" s="115">
        <f>11.57*4</f>
        <v>46.28</v>
      </c>
      <c r="F19" s="86"/>
      <c r="G19" s="87"/>
      <c r="H19" s="87"/>
      <c r="I19" s="87"/>
      <c r="J19" s="87"/>
      <c r="K19" s="91"/>
      <c r="L19" s="92"/>
      <c r="M19" s="93"/>
      <c r="N19" s="93"/>
      <c r="O19" s="93"/>
      <c r="P19" s="91"/>
      <c r="T19" s="158"/>
    </row>
    <row r="20" spans="1:20" x14ac:dyDescent="0.2">
      <c r="A20" s="82">
        <f t="shared" si="0"/>
        <v>6</v>
      </c>
      <c r="B20" s="89"/>
      <c r="C20" s="90" t="s">
        <v>82</v>
      </c>
      <c r="D20" s="114" t="s">
        <v>83</v>
      </c>
      <c r="E20" s="115">
        <f>67*0.78*0.05*0.1*1.15</f>
        <v>0.30049500000000001</v>
      </c>
      <c r="F20" s="86"/>
      <c r="G20" s="87"/>
      <c r="H20" s="87"/>
      <c r="I20" s="87"/>
      <c r="J20" s="87"/>
      <c r="K20" s="91"/>
      <c r="L20" s="92"/>
      <c r="M20" s="93"/>
      <c r="N20" s="93"/>
      <c r="O20" s="93"/>
      <c r="P20" s="91"/>
      <c r="T20" s="158"/>
    </row>
    <row r="21" spans="1:20" x14ac:dyDescent="0.2">
      <c r="A21" s="82">
        <f t="shared" si="0"/>
        <v>7</v>
      </c>
      <c r="B21" s="89"/>
      <c r="C21" s="90" t="s">
        <v>303</v>
      </c>
      <c r="D21" s="114" t="s">
        <v>73</v>
      </c>
      <c r="E21" s="115">
        <f>E19*1.5</f>
        <v>69.42</v>
      </c>
      <c r="F21" s="86"/>
      <c r="G21" s="87"/>
      <c r="H21" s="87"/>
      <c r="I21" s="87"/>
      <c r="J21" s="87"/>
      <c r="K21" s="91"/>
      <c r="L21" s="92"/>
      <c r="M21" s="93"/>
      <c r="N21" s="93"/>
      <c r="O21" s="93"/>
      <c r="P21" s="91"/>
      <c r="T21" s="158"/>
    </row>
    <row r="22" spans="1:20" x14ac:dyDescent="0.2">
      <c r="A22" s="82">
        <f t="shared" si="0"/>
        <v>8</v>
      </c>
      <c r="B22" s="89"/>
      <c r="C22" s="90" t="s">
        <v>84</v>
      </c>
      <c r="D22" s="114" t="s">
        <v>75</v>
      </c>
      <c r="E22" s="115">
        <f>E19</f>
        <v>46.28</v>
      </c>
      <c r="F22" s="86"/>
      <c r="G22" s="87"/>
      <c r="H22" s="87"/>
      <c r="I22" s="87"/>
      <c r="J22" s="87"/>
      <c r="K22" s="91"/>
      <c r="L22" s="92"/>
      <c r="M22" s="93"/>
      <c r="N22" s="93"/>
      <c r="O22" s="93"/>
      <c r="P22" s="91"/>
      <c r="T22" s="158"/>
    </row>
    <row r="23" spans="1:20" x14ac:dyDescent="0.2">
      <c r="A23" s="82">
        <f t="shared" si="0"/>
        <v>9</v>
      </c>
      <c r="B23" s="89"/>
      <c r="C23" s="94" t="s">
        <v>85</v>
      </c>
      <c r="D23" s="114" t="s">
        <v>73</v>
      </c>
      <c r="E23" s="115">
        <f>E19*0.8</f>
        <v>37.024000000000001</v>
      </c>
      <c r="F23" s="86"/>
      <c r="G23" s="87"/>
      <c r="H23" s="87"/>
      <c r="I23" s="87"/>
      <c r="J23" s="87"/>
      <c r="K23" s="91"/>
      <c r="L23" s="92"/>
      <c r="M23" s="93"/>
      <c r="N23" s="93"/>
      <c r="O23" s="93"/>
      <c r="P23" s="91"/>
      <c r="T23" s="158"/>
    </row>
    <row r="24" spans="1:20" x14ac:dyDescent="0.2">
      <c r="A24" s="82">
        <f t="shared" si="0"/>
        <v>10</v>
      </c>
      <c r="B24" s="89"/>
      <c r="C24" s="90" t="s">
        <v>304</v>
      </c>
      <c r="D24" s="114" t="s">
        <v>73</v>
      </c>
      <c r="E24" s="115">
        <f>E23*1.15</f>
        <v>42.577599999999997</v>
      </c>
      <c r="F24" s="86"/>
      <c r="G24" s="87"/>
      <c r="H24" s="87"/>
      <c r="I24" s="87"/>
      <c r="J24" s="87"/>
      <c r="K24" s="91"/>
      <c r="L24" s="92"/>
      <c r="M24" s="93"/>
      <c r="N24" s="93"/>
      <c r="O24" s="93"/>
      <c r="P24" s="91"/>
      <c r="T24" s="158"/>
    </row>
    <row r="25" spans="1:20" x14ac:dyDescent="0.2">
      <c r="A25" s="82">
        <f t="shared" si="0"/>
        <v>11</v>
      </c>
      <c r="B25" s="89"/>
      <c r="C25" s="90" t="s">
        <v>84</v>
      </c>
      <c r="D25" s="114" t="s">
        <v>75</v>
      </c>
      <c r="E25" s="115">
        <f>E23</f>
        <v>37.024000000000001</v>
      </c>
      <c r="F25" s="86"/>
      <c r="G25" s="87"/>
      <c r="H25" s="87"/>
      <c r="I25" s="87"/>
      <c r="J25" s="87"/>
      <c r="K25" s="91"/>
      <c r="L25" s="92"/>
      <c r="M25" s="93"/>
      <c r="N25" s="93"/>
      <c r="O25" s="93"/>
      <c r="P25" s="91"/>
      <c r="T25" s="158"/>
    </row>
    <row r="26" spans="1:20" x14ac:dyDescent="0.2">
      <c r="A26" s="82">
        <f t="shared" si="0"/>
        <v>12</v>
      </c>
      <c r="B26" s="89"/>
      <c r="C26" s="94" t="s">
        <v>305</v>
      </c>
      <c r="D26" s="114" t="s">
        <v>65</v>
      </c>
      <c r="E26" s="115">
        <f>E19</f>
        <v>46.28</v>
      </c>
      <c r="F26" s="86"/>
      <c r="G26" s="87"/>
      <c r="H26" s="87"/>
      <c r="I26" s="87"/>
      <c r="J26" s="87"/>
      <c r="K26" s="91"/>
      <c r="L26" s="92"/>
      <c r="M26" s="93"/>
      <c r="N26" s="93"/>
      <c r="O26" s="93"/>
      <c r="P26" s="91"/>
      <c r="T26" s="158"/>
    </row>
    <row r="27" spans="1:20" x14ac:dyDescent="0.2">
      <c r="A27" s="82">
        <f t="shared" si="0"/>
        <v>13</v>
      </c>
      <c r="B27" s="89"/>
      <c r="C27" s="90" t="s">
        <v>306</v>
      </c>
      <c r="D27" s="114" t="s">
        <v>65</v>
      </c>
      <c r="E27" s="115">
        <f>E26*1.1</f>
        <v>50.908000000000008</v>
      </c>
      <c r="F27" s="86"/>
      <c r="G27" s="87"/>
      <c r="H27" s="87"/>
      <c r="I27" s="87"/>
      <c r="J27" s="87"/>
      <c r="K27" s="91"/>
      <c r="L27" s="92"/>
      <c r="M27" s="93"/>
      <c r="N27" s="93"/>
      <c r="O27" s="93"/>
      <c r="P27" s="91"/>
      <c r="T27" s="158"/>
    </row>
    <row r="28" spans="1:20" x14ac:dyDescent="0.2">
      <c r="A28" s="82">
        <f t="shared" si="0"/>
        <v>14</v>
      </c>
      <c r="B28" s="89"/>
      <c r="C28" s="84" t="s">
        <v>87</v>
      </c>
      <c r="D28" s="114" t="s">
        <v>65</v>
      </c>
      <c r="E28" s="115">
        <f>49.68*2</f>
        <v>99.36</v>
      </c>
      <c r="F28" s="86"/>
      <c r="G28" s="87"/>
      <c r="H28" s="87"/>
      <c r="I28" s="87"/>
      <c r="J28" s="87"/>
      <c r="K28" s="91"/>
      <c r="L28" s="92"/>
      <c r="M28" s="93"/>
      <c r="N28" s="93"/>
      <c r="O28" s="93"/>
      <c r="P28" s="91"/>
      <c r="T28" s="158"/>
    </row>
    <row r="29" spans="1:20" x14ac:dyDescent="0.2">
      <c r="A29" s="82">
        <f t="shared" si="0"/>
        <v>15</v>
      </c>
      <c r="B29" s="89"/>
      <c r="C29" s="90" t="s">
        <v>82</v>
      </c>
      <c r="D29" s="114" t="s">
        <v>83</v>
      </c>
      <c r="E29" s="115">
        <f>E28*0.025*0.08*2*1.25</f>
        <v>0.49680000000000002</v>
      </c>
      <c r="F29" s="86"/>
      <c r="G29" s="87"/>
      <c r="H29" s="87"/>
      <c r="I29" s="87"/>
      <c r="J29" s="87"/>
      <c r="K29" s="91"/>
      <c r="L29" s="92"/>
      <c r="M29" s="93"/>
      <c r="N29" s="93"/>
      <c r="O29" s="93"/>
      <c r="P29" s="91"/>
      <c r="T29" s="158"/>
    </row>
    <row r="30" spans="1:20" x14ac:dyDescent="0.2">
      <c r="A30" s="82">
        <f t="shared" si="0"/>
        <v>16</v>
      </c>
      <c r="B30" s="89"/>
      <c r="C30" s="90" t="s">
        <v>84</v>
      </c>
      <c r="D30" s="114" t="s">
        <v>75</v>
      </c>
      <c r="E30" s="115">
        <f>E28</f>
        <v>99.36</v>
      </c>
      <c r="F30" s="86"/>
      <c r="G30" s="87"/>
      <c r="H30" s="87"/>
      <c r="I30" s="87"/>
      <c r="J30" s="87"/>
      <c r="K30" s="91"/>
      <c r="L30" s="92"/>
      <c r="M30" s="93"/>
      <c r="N30" s="93"/>
      <c r="O30" s="93"/>
      <c r="P30" s="91"/>
      <c r="T30" s="158"/>
    </row>
    <row r="31" spans="1:20" x14ac:dyDescent="0.2">
      <c r="A31" s="82">
        <f t="shared" si="0"/>
        <v>17</v>
      </c>
      <c r="B31" s="89"/>
      <c r="C31" s="94" t="s">
        <v>88</v>
      </c>
      <c r="D31" s="114" t="s">
        <v>65</v>
      </c>
      <c r="E31" s="115">
        <f>E28*2</f>
        <v>198.72</v>
      </c>
      <c r="F31" s="86"/>
      <c r="G31" s="87"/>
      <c r="H31" s="87"/>
      <c r="I31" s="87"/>
      <c r="J31" s="87"/>
      <c r="K31" s="91"/>
      <c r="L31" s="92"/>
      <c r="M31" s="93"/>
      <c r="N31" s="93"/>
      <c r="O31" s="93"/>
      <c r="P31" s="91"/>
      <c r="T31" s="158"/>
    </row>
    <row r="32" spans="1:20" x14ac:dyDescent="0.2">
      <c r="A32" s="82">
        <f t="shared" si="0"/>
        <v>18</v>
      </c>
      <c r="B32" s="89"/>
      <c r="C32" s="90" t="s">
        <v>89</v>
      </c>
      <c r="D32" s="114" t="s">
        <v>65</v>
      </c>
      <c r="E32" s="115">
        <f>E28*1.1</f>
        <v>109.29600000000001</v>
      </c>
      <c r="F32" s="86"/>
      <c r="G32" s="87"/>
      <c r="H32" s="87"/>
      <c r="I32" s="87"/>
      <c r="J32" s="87"/>
      <c r="K32" s="91"/>
      <c r="L32" s="92"/>
      <c r="M32" s="93"/>
      <c r="N32" s="93"/>
      <c r="O32" s="93"/>
      <c r="P32" s="91"/>
      <c r="T32" s="158"/>
    </row>
    <row r="33" spans="1:20" x14ac:dyDescent="0.2">
      <c r="A33" s="82">
        <f t="shared" si="0"/>
        <v>19</v>
      </c>
      <c r="B33" s="89"/>
      <c r="C33" s="90" t="s">
        <v>307</v>
      </c>
      <c r="D33" s="114" t="s">
        <v>65</v>
      </c>
      <c r="E33" s="115">
        <f>E32</f>
        <v>109.29600000000001</v>
      </c>
      <c r="F33" s="86"/>
      <c r="G33" s="87"/>
      <c r="H33" s="87"/>
      <c r="I33" s="87"/>
      <c r="J33" s="87"/>
      <c r="K33" s="91"/>
      <c r="L33" s="92"/>
      <c r="M33" s="93"/>
      <c r="N33" s="93"/>
      <c r="O33" s="93"/>
      <c r="P33" s="91"/>
      <c r="T33" s="158"/>
    </row>
    <row r="34" spans="1:20" x14ac:dyDescent="0.2">
      <c r="A34" s="82">
        <f t="shared" si="0"/>
        <v>20</v>
      </c>
      <c r="B34" s="89"/>
      <c r="C34" s="84" t="s">
        <v>90</v>
      </c>
      <c r="D34" s="114" t="s">
        <v>65</v>
      </c>
      <c r="E34" s="115">
        <v>120.9</v>
      </c>
      <c r="F34" s="86"/>
      <c r="G34" s="87"/>
      <c r="H34" s="87"/>
      <c r="I34" s="87"/>
      <c r="J34" s="87"/>
      <c r="K34" s="91"/>
      <c r="L34" s="92"/>
      <c r="M34" s="93"/>
      <c r="N34" s="93"/>
      <c r="O34" s="93"/>
      <c r="P34" s="91"/>
      <c r="T34" s="158"/>
    </row>
    <row r="35" spans="1:20" x14ac:dyDescent="0.2">
      <c r="A35" s="82">
        <f t="shared" si="0"/>
        <v>21</v>
      </c>
      <c r="B35" s="89"/>
      <c r="C35" s="90" t="s">
        <v>91</v>
      </c>
      <c r="D35" s="114" t="s">
        <v>65</v>
      </c>
      <c r="E35" s="115">
        <f>E34</f>
        <v>120.9</v>
      </c>
      <c r="F35" s="86"/>
      <c r="G35" s="87"/>
      <c r="H35" s="87"/>
      <c r="I35" s="87"/>
      <c r="J35" s="87"/>
      <c r="K35" s="91"/>
      <c r="L35" s="92"/>
      <c r="M35" s="93"/>
      <c r="N35" s="93"/>
      <c r="O35" s="93"/>
      <c r="P35" s="91"/>
      <c r="T35" s="158"/>
    </row>
    <row r="36" spans="1:20" x14ac:dyDescent="0.2">
      <c r="A36" s="82">
        <f t="shared" si="0"/>
        <v>22</v>
      </c>
      <c r="B36" s="89"/>
      <c r="C36" s="116" t="s">
        <v>92</v>
      </c>
      <c r="D36" s="114" t="s">
        <v>73</v>
      </c>
      <c r="E36" s="115">
        <f>E15</f>
        <v>777.16</v>
      </c>
      <c r="F36" s="86"/>
      <c r="G36" s="87"/>
      <c r="H36" s="87"/>
      <c r="I36" s="87"/>
      <c r="J36" s="87"/>
      <c r="K36" s="91"/>
      <c r="L36" s="92"/>
      <c r="M36" s="93"/>
      <c r="N36" s="93"/>
      <c r="O36" s="93"/>
      <c r="P36" s="91"/>
      <c r="T36" s="158"/>
    </row>
    <row r="37" spans="1:20" x14ac:dyDescent="0.2">
      <c r="A37" s="82">
        <f t="shared" si="0"/>
        <v>23</v>
      </c>
      <c r="B37" s="89"/>
      <c r="C37" s="90" t="s">
        <v>308</v>
      </c>
      <c r="D37" s="102" t="s">
        <v>73</v>
      </c>
      <c r="E37" s="117">
        <f>E36*1.25</f>
        <v>971.44999999999993</v>
      </c>
      <c r="F37" s="86"/>
      <c r="G37" s="87"/>
      <c r="H37" s="87"/>
      <c r="I37" s="87"/>
      <c r="J37" s="87"/>
      <c r="K37" s="91"/>
      <c r="L37" s="92"/>
      <c r="M37" s="93"/>
      <c r="N37" s="93"/>
      <c r="O37" s="93"/>
      <c r="P37" s="91"/>
      <c r="T37" s="158"/>
    </row>
    <row r="38" spans="1:20" x14ac:dyDescent="0.2">
      <c r="A38" s="82">
        <f t="shared" si="0"/>
        <v>24</v>
      </c>
      <c r="B38" s="89"/>
      <c r="C38" s="90" t="s">
        <v>309</v>
      </c>
      <c r="D38" s="102" t="s">
        <v>73</v>
      </c>
      <c r="E38" s="115">
        <f>E37</f>
        <v>971.44999999999993</v>
      </c>
      <c r="F38" s="86"/>
      <c r="G38" s="87"/>
      <c r="H38" s="87"/>
      <c r="I38" s="87"/>
      <c r="J38" s="87"/>
      <c r="K38" s="91"/>
      <c r="L38" s="92"/>
      <c r="M38" s="93"/>
      <c r="N38" s="93"/>
      <c r="O38" s="93"/>
      <c r="P38" s="91"/>
      <c r="T38" s="158"/>
    </row>
    <row r="39" spans="1:20" x14ac:dyDescent="0.2">
      <c r="A39" s="82">
        <f t="shared" si="0"/>
        <v>25</v>
      </c>
      <c r="B39" s="89"/>
      <c r="C39" s="90" t="s">
        <v>93</v>
      </c>
      <c r="D39" s="102" t="s">
        <v>94</v>
      </c>
      <c r="E39" s="115">
        <v>12</v>
      </c>
      <c r="F39" s="86"/>
      <c r="G39" s="87"/>
      <c r="H39" s="87"/>
      <c r="I39" s="87"/>
      <c r="J39" s="87"/>
      <c r="K39" s="91"/>
      <c r="L39" s="92"/>
      <c r="M39" s="93"/>
      <c r="N39" s="93"/>
      <c r="O39" s="93"/>
      <c r="P39" s="91"/>
      <c r="T39" s="158"/>
    </row>
    <row r="40" spans="1:20" x14ac:dyDescent="0.2">
      <c r="A40" s="82">
        <f>IF(E40&gt;0,IF(E40&gt;0,1+MAX($A$14:A39),0),0)</f>
        <v>26</v>
      </c>
      <c r="B40" s="89"/>
      <c r="C40" s="94" t="s">
        <v>95</v>
      </c>
      <c r="D40" s="102" t="s">
        <v>65</v>
      </c>
      <c r="E40" s="115">
        <f>11.54*6</f>
        <v>69.239999999999995</v>
      </c>
      <c r="F40" s="86"/>
      <c r="G40" s="87"/>
      <c r="H40" s="87"/>
      <c r="I40" s="87"/>
      <c r="J40" s="87"/>
      <c r="K40" s="91"/>
      <c r="L40" s="92"/>
      <c r="M40" s="93"/>
      <c r="N40" s="93"/>
      <c r="O40" s="93"/>
      <c r="P40" s="91"/>
      <c r="T40" s="158"/>
    </row>
    <row r="41" spans="1:20" x14ac:dyDescent="0.2">
      <c r="A41" s="82">
        <f>IF(E41&gt;0,IF(E41&gt;0,1+MAX($A$14:A40),0),0)</f>
        <v>27</v>
      </c>
      <c r="B41" s="89"/>
      <c r="C41" s="90" t="s">
        <v>96</v>
      </c>
      <c r="D41" s="102" t="s">
        <v>65</v>
      </c>
      <c r="E41" s="115">
        <f>E40*1.1</f>
        <v>76.164000000000001</v>
      </c>
      <c r="F41" s="86"/>
      <c r="G41" s="87"/>
      <c r="H41" s="87"/>
      <c r="I41" s="87"/>
      <c r="J41" s="87"/>
      <c r="K41" s="91"/>
      <c r="L41" s="92"/>
      <c r="M41" s="93"/>
      <c r="N41" s="93"/>
      <c r="O41" s="93"/>
      <c r="P41" s="91"/>
      <c r="T41" s="158"/>
    </row>
    <row r="42" spans="1:20" x14ac:dyDescent="0.2">
      <c r="A42" s="82">
        <f>IF(E42&gt;0,IF(E42&gt;0,1+MAX($A$14:A41),0),0)</f>
        <v>28</v>
      </c>
      <c r="B42" s="89"/>
      <c r="C42" s="94" t="s">
        <v>97</v>
      </c>
      <c r="D42" s="102" t="s">
        <v>65</v>
      </c>
      <c r="E42" s="115">
        <f>11.57*4</f>
        <v>46.28</v>
      </c>
      <c r="F42" s="86"/>
      <c r="G42" s="87"/>
      <c r="H42" s="87"/>
      <c r="I42" s="87"/>
      <c r="J42" s="87"/>
      <c r="K42" s="91"/>
      <c r="L42" s="92"/>
      <c r="M42" s="93"/>
      <c r="N42" s="93"/>
      <c r="O42" s="93"/>
      <c r="P42" s="91"/>
      <c r="T42" s="158"/>
    </row>
    <row r="43" spans="1:20" x14ac:dyDescent="0.2">
      <c r="A43" s="82">
        <f>IF(E43&gt;0,IF(E43&gt;0,1+MAX($A$14:A42),0),0)</f>
        <v>29</v>
      </c>
      <c r="B43" s="89"/>
      <c r="C43" s="90" t="s">
        <v>308</v>
      </c>
      <c r="D43" s="102" t="s">
        <v>73</v>
      </c>
      <c r="E43" s="117">
        <f>E42*1.5*1.25</f>
        <v>86.775000000000006</v>
      </c>
      <c r="F43" s="86"/>
      <c r="G43" s="87"/>
      <c r="H43" s="87"/>
      <c r="I43" s="87"/>
      <c r="J43" s="87"/>
      <c r="K43" s="91"/>
      <c r="L43" s="92"/>
      <c r="M43" s="93"/>
      <c r="N43" s="93"/>
      <c r="O43" s="93"/>
      <c r="P43" s="91"/>
      <c r="T43" s="158"/>
    </row>
    <row r="44" spans="1:20" x14ac:dyDescent="0.2">
      <c r="A44" s="82">
        <f>IF(E44&gt;0,IF(E44&gt;0,1+MAX($A$14:A43),0),0)</f>
        <v>30</v>
      </c>
      <c r="B44" s="89"/>
      <c r="C44" s="90" t="s">
        <v>309</v>
      </c>
      <c r="D44" s="102" t="s">
        <v>73</v>
      </c>
      <c r="E44" s="115">
        <f>E43</f>
        <v>86.775000000000006</v>
      </c>
      <c r="F44" s="86"/>
      <c r="G44" s="87"/>
      <c r="H44" s="87"/>
      <c r="I44" s="87"/>
      <c r="J44" s="87"/>
      <c r="K44" s="91"/>
      <c r="L44" s="92"/>
      <c r="M44" s="93"/>
      <c r="N44" s="93"/>
      <c r="O44" s="93"/>
      <c r="P44" s="91"/>
      <c r="T44" s="158"/>
    </row>
    <row r="45" spans="1:20" x14ac:dyDescent="0.2">
      <c r="A45" s="82">
        <f>IF(E45&gt;0,IF(E45&gt;0,1+MAX($A$14:A44),0),0)</f>
        <v>31</v>
      </c>
      <c r="B45" s="89"/>
      <c r="C45" s="90" t="s">
        <v>93</v>
      </c>
      <c r="D45" s="102" t="s">
        <v>94</v>
      </c>
      <c r="E45" s="115">
        <v>2</v>
      </c>
      <c r="F45" s="86"/>
      <c r="G45" s="87"/>
      <c r="H45" s="87"/>
      <c r="I45" s="87"/>
      <c r="J45" s="87"/>
      <c r="K45" s="91"/>
      <c r="L45" s="92"/>
      <c r="M45" s="93"/>
      <c r="N45" s="93"/>
      <c r="O45" s="93"/>
      <c r="P45" s="91"/>
      <c r="T45" s="158"/>
    </row>
    <row r="46" spans="1:20" x14ac:dyDescent="0.2">
      <c r="A46" s="82">
        <f>IF(E46&gt;0,IF(E46&gt;0,1+MAX($A$14:A45),0),0)</f>
        <v>32</v>
      </c>
      <c r="B46" s="89"/>
      <c r="C46" s="105" t="s">
        <v>98</v>
      </c>
      <c r="D46" s="114" t="s">
        <v>67</v>
      </c>
      <c r="E46" s="115">
        <v>14</v>
      </c>
      <c r="F46" s="86"/>
      <c r="G46" s="87"/>
      <c r="H46" s="87"/>
      <c r="I46" s="87"/>
      <c r="J46" s="87"/>
      <c r="K46" s="91"/>
      <c r="L46" s="92"/>
      <c r="M46" s="93"/>
      <c r="N46" s="93"/>
      <c r="O46" s="93"/>
      <c r="P46" s="91"/>
      <c r="T46" s="158"/>
    </row>
    <row r="47" spans="1:20" x14ac:dyDescent="0.2">
      <c r="A47" s="82">
        <f>IF(E47&gt;0,IF(E47&gt;0,1+MAX($A$14:A46),0),0)</f>
        <v>33</v>
      </c>
      <c r="B47" s="89"/>
      <c r="C47" s="94" t="s">
        <v>99</v>
      </c>
      <c r="D47" s="102" t="s">
        <v>67</v>
      </c>
      <c r="E47" s="117">
        <v>14</v>
      </c>
      <c r="F47" s="86"/>
      <c r="G47" s="87"/>
      <c r="H47" s="87"/>
      <c r="I47" s="87"/>
      <c r="J47" s="87"/>
      <c r="K47" s="91"/>
      <c r="L47" s="92"/>
      <c r="M47" s="93"/>
      <c r="N47" s="93"/>
      <c r="O47" s="93"/>
      <c r="P47" s="91"/>
      <c r="T47" s="158"/>
    </row>
    <row r="48" spans="1:20" x14ac:dyDescent="0.2">
      <c r="A48" s="82">
        <f>IF(E48&gt;0,IF(E48&gt;0,1+MAX($A$14:A47),0),0)</f>
        <v>34</v>
      </c>
      <c r="B48" s="89"/>
      <c r="C48" s="90" t="s">
        <v>100</v>
      </c>
      <c r="D48" s="102" t="s">
        <v>83</v>
      </c>
      <c r="E48" s="115">
        <v>3.96</v>
      </c>
      <c r="F48" s="86"/>
      <c r="G48" s="87"/>
      <c r="H48" s="87"/>
      <c r="I48" s="87"/>
      <c r="J48" s="87"/>
      <c r="K48" s="91"/>
      <c r="L48" s="92"/>
      <c r="M48" s="93"/>
      <c r="N48" s="93"/>
      <c r="O48" s="93"/>
      <c r="P48" s="91"/>
      <c r="T48" s="158"/>
    </row>
    <row r="49" spans="1:20" x14ac:dyDescent="0.2">
      <c r="A49" s="82">
        <f>IF(E49&gt;0,IF(E49&gt;0,1+MAX($A$14:A48),0),0)</f>
        <v>35</v>
      </c>
      <c r="B49" s="89"/>
      <c r="C49" s="90" t="s">
        <v>101</v>
      </c>
      <c r="D49" s="102" t="s">
        <v>102</v>
      </c>
      <c r="E49" s="115">
        <v>2373.84</v>
      </c>
      <c r="F49" s="86"/>
      <c r="G49" s="87"/>
      <c r="H49" s="87"/>
      <c r="I49" s="87"/>
      <c r="J49" s="87"/>
      <c r="K49" s="91"/>
      <c r="L49" s="92"/>
      <c r="M49" s="93"/>
      <c r="N49" s="93"/>
      <c r="O49" s="93"/>
      <c r="P49" s="91"/>
      <c r="T49" s="158"/>
    </row>
    <row r="50" spans="1:20" x14ac:dyDescent="0.2">
      <c r="A50" s="82">
        <f>IF(E50&gt;0,IF(E50&gt;0,1+MAX($A$14:A49),0),0)</f>
        <v>36</v>
      </c>
      <c r="B50" s="89"/>
      <c r="C50" s="105" t="s">
        <v>103</v>
      </c>
      <c r="D50" s="122" t="s">
        <v>104</v>
      </c>
      <c r="E50" s="196">
        <v>14</v>
      </c>
      <c r="F50" s="86"/>
      <c r="G50" s="87"/>
      <c r="H50" s="87"/>
      <c r="I50" s="87"/>
      <c r="J50" s="87"/>
      <c r="K50" s="91"/>
      <c r="L50" s="92"/>
      <c r="M50" s="93"/>
      <c r="N50" s="93"/>
      <c r="O50" s="93"/>
      <c r="P50" s="91"/>
      <c r="T50" s="158"/>
    </row>
    <row r="51" spans="1:20" x14ac:dyDescent="0.2">
      <c r="A51" s="82">
        <f>IF(E51&gt;0,IF(E51&gt;0,1+MAX($A$14:A50),0),0)</f>
        <v>37</v>
      </c>
      <c r="B51" s="89"/>
      <c r="C51" s="107" t="s">
        <v>105</v>
      </c>
      <c r="D51" s="122" t="s">
        <v>67</v>
      </c>
      <c r="E51" s="196">
        <v>14</v>
      </c>
      <c r="F51" s="86"/>
      <c r="G51" s="87"/>
      <c r="H51" s="87"/>
      <c r="I51" s="87"/>
      <c r="J51" s="87"/>
      <c r="K51" s="91"/>
      <c r="L51" s="92"/>
      <c r="M51" s="93"/>
      <c r="N51" s="93"/>
      <c r="O51" s="93"/>
      <c r="P51" s="91"/>
      <c r="T51" s="158"/>
    </row>
    <row r="52" spans="1:20" x14ac:dyDescent="0.2">
      <c r="A52" s="82">
        <f>IF(E52&gt;0,IF(E52&gt;0,1+MAX($A$14:A51),0),0)</f>
        <v>38</v>
      </c>
      <c r="B52" s="89"/>
      <c r="C52" s="109" t="s">
        <v>106</v>
      </c>
      <c r="D52" s="102" t="s">
        <v>73</v>
      </c>
      <c r="E52" s="198">
        <f>3.14*E50</f>
        <v>43.96</v>
      </c>
      <c r="F52" s="86"/>
      <c r="G52" s="87"/>
      <c r="H52" s="87"/>
      <c r="I52" s="87"/>
      <c r="J52" s="87"/>
      <c r="K52" s="91"/>
      <c r="L52" s="92"/>
      <c r="M52" s="93"/>
      <c r="N52" s="93"/>
      <c r="O52" s="93"/>
      <c r="P52" s="91"/>
      <c r="T52" s="158"/>
    </row>
    <row r="53" spans="1:20" x14ac:dyDescent="0.2">
      <c r="A53" s="82">
        <f>IF(E53&gt;0,IF(E53&gt;0,1+MAX($A$14:A52),0),0)</f>
        <v>39</v>
      </c>
      <c r="B53" s="89"/>
      <c r="C53" s="90" t="s">
        <v>107</v>
      </c>
      <c r="D53" s="102" t="s">
        <v>102</v>
      </c>
      <c r="E53" s="198">
        <f>E52*7</f>
        <v>307.72000000000003</v>
      </c>
      <c r="F53" s="86"/>
      <c r="G53" s="87"/>
      <c r="H53" s="87"/>
      <c r="I53" s="87"/>
      <c r="J53" s="87"/>
      <c r="K53" s="91"/>
      <c r="L53" s="92"/>
      <c r="M53" s="93"/>
      <c r="N53" s="93"/>
      <c r="O53" s="93"/>
      <c r="P53" s="91"/>
      <c r="T53" s="158"/>
    </row>
    <row r="54" spans="1:20" x14ac:dyDescent="0.2">
      <c r="A54" s="82">
        <f>IF(E54&gt;0,IF(E54&gt;0,1+MAX($A$14:A53),0),0)</f>
        <v>40</v>
      </c>
      <c r="B54" s="89"/>
      <c r="C54" s="90" t="s">
        <v>108</v>
      </c>
      <c r="D54" s="102" t="s">
        <v>73</v>
      </c>
      <c r="E54" s="198">
        <f>E52*1.15</f>
        <v>50.553999999999995</v>
      </c>
      <c r="F54" s="86"/>
      <c r="G54" s="87"/>
      <c r="H54" s="87"/>
      <c r="I54" s="87"/>
      <c r="J54" s="87"/>
      <c r="K54" s="91"/>
      <c r="L54" s="92"/>
      <c r="M54" s="93"/>
      <c r="N54" s="93"/>
      <c r="O54" s="93"/>
      <c r="P54" s="91"/>
      <c r="T54" s="158"/>
    </row>
    <row r="55" spans="1:20" x14ac:dyDescent="0.2">
      <c r="A55" s="82">
        <f>IF(E55&gt;0,IF(E55&gt;0,1+MAX($A$14:A54),0),0)</f>
        <v>41</v>
      </c>
      <c r="B55" s="89"/>
      <c r="C55" s="90" t="s">
        <v>109</v>
      </c>
      <c r="D55" s="102" t="s">
        <v>110</v>
      </c>
      <c r="E55" s="198">
        <f>1*4*14*1.25</f>
        <v>70</v>
      </c>
      <c r="F55" s="86"/>
      <c r="G55" s="87"/>
      <c r="H55" s="87"/>
      <c r="I55" s="87"/>
      <c r="J55" s="87"/>
      <c r="K55" s="91"/>
      <c r="L55" s="92"/>
      <c r="M55" s="93"/>
      <c r="N55" s="93"/>
      <c r="O55" s="93"/>
      <c r="P55" s="91"/>
      <c r="T55" s="158"/>
    </row>
    <row r="56" spans="1:20" ht="22.5" x14ac:dyDescent="0.2">
      <c r="A56" s="82">
        <f>IF(E56&gt;0,IF(E56&gt;0,1+MAX($A$14:A55),0),0)</f>
        <v>42</v>
      </c>
      <c r="B56" s="89"/>
      <c r="C56" s="94" t="s">
        <v>111</v>
      </c>
      <c r="D56" s="102" t="s">
        <v>73</v>
      </c>
      <c r="E56" s="198">
        <f>E52</f>
        <v>43.96</v>
      </c>
      <c r="F56" s="86"/>
      <c r="G56" s="87"/>
      <c r="H56" s="87"/>
      <c r="I56" s="87"/>
      <c r="J56" s="87"/>
      <c r="K56" s="91"/>
      <c r="L56" s="92"/>
      <c r="M56" s="93"/>
      <c r="N56" s="93"/>
      <c r="O56" s="93"/>
      <c r="P56" s="91"/>
      <c r="T56" s="158"/>
    </row>
    <row r="57" spans="1:20" x14ac:dyDescent="0.2">
      <c r="A57" s="82">
        <f>IF(E57&gt;0,IF(E57&gt;0,1+MAX($A$14:A56),0),0)</f>
        <v>43</v>
      </c>
      <c r="B57" s="89"/>
      <c r="C57" s="90" t="s">
        <v>112</v>
      </c>
      <c r="D57" s="102" t="s">
        <v>102</v>
      </c>
      <c r="E57" s="198">
        <f>E56*0.2</f>
        <v>8.7919999999999998</v>
      </c>
      <c r="F57" s="86"/>
      <c r="G57" s="87"/>
      <c r="H57" s="87"/>
      <c r="I57" s="87"/>
      <c r="J57" s="87"/>
      <c r="K57" s="91"/>
      <c r="L57" s="92"/>
      <c r="M57" s="93"/>
      <c r="N57" s="93"/>
      <c r="O57" s="93"/>
      <c r="P57" s="91"/>
      <c r="T57" s="158"/>
    </row>
    <row r="58" spans="1:20" x14ac:dyDescent="0.2">
      <c r="A58" s="82">
        <f>IF(E58&gt;0,IF(E58&gt;0,1+MAX($A$14:A57),0),0)</f>
        <v>44</v>
      </c>
      <c r="B58" s="89"/>
      <c r="C58" s="90" t="s">
        <v>113</v>
      </c>
      <c r="D58" s="102" t="s">
        <v>102</v>
      </c>
      <c r="E58" s="198">
        <f>E56*3.3</f>
        <v>145.06799999999998</v>
      </c>
      <c r="F58" s="86"/>
      <c r="G58" s="87"/>
      <c r="H58" s="87"/>
      <c r="I58" s="87"/>
      <c r="J58" s="87"/>
      <c r="K58" s="91"/>
      <c r="L58" s="92"/>
      <c r="M58" s="93"/>
      <c r="N58" s="93"/>
      <c r="O58" s="93"/>
      <c r="P58" s="91"/>
      <c r="T58" s="158"/>
    </row>
    <row r="59" spans="1:20" x14ac:dyDescent="0.2">
      <c r="A59" s="82">
        <f>IF(E59&gt;0,IF(E59&gt;0,1+MAX($A$14:A58),0),0)</f>
        <v>45</v>
      </c>
      <c r="B59" s="89"/>
      <c r="C59" s="94" t="s">
        <v>114</v>
      </c>
      <c r="D59" s="102" t="s">
        <v>67</v>
      </c>
      <c r="E59" s="115">
        <v>9</v>
      </c>
      <c r="F59" s="86"/>
      <c r="G59" s="87"/>
      <c r="H59" s="87"/>
      <c r="I59" s="87"/>
      <c r="J59" s="87"/>
      <c r="K59" s="91"/>
      <c r="L59" s="92"/>
      <c r="M59" s="93"/>
      <c r="N59" s="93"/>
      <c r="O59" s="93"/>
      <c r="P59" s="91"/>
      <c r="T59" s="158"/>
    </row>
    <row r="60" spans="1:20" x14ac:dyDescent="0.2">
      <c r="A60" s="82">
        <f>IF(E60&gt;0,IF(E60&gt;0,1+MAX($A$14:A59),0),0)</f>
        <v>46</v>
      </c>
      <c r="B60" s="89"/>
      <c r="C60" s="90" t="s">
        <v>310</v>
      </c>
      <c r="D60" s="102" t="s">
        <v>67</v>
      </c>
      <c r="E60" s="115">
        <f>E59</f>
        <v>9</v>
      </c>
      <c r="F60" s="86"/>
      <c r="G60" s="87"/>
      <c r="H60" s="87"/>
      <c r="I60" s="87"/>
      <c r="J60" s="87"/>
      <c r="K60" s="91"/>
      <c r="L60" s="92"/>
      <c r="M60" s="93"/>
      <c r="N60" s="93"/>
      <c r="O60" s="93"/>
      <c r="P60" s="91"/>
      <c r="T60" s="158"/>
    </row>
    <row r="61" spans="1:20" x14ac:dyDescent="0.2">
      <c r="A61" s="82">
        <f>IF(E61&gt;0,IF(E61&gt;0,1+MAX($A$14:A60),0),0)</f>
        <v>47</v>
      </c>
      <c r="B61" s="89"/>
      <c r="C61" s="94" t="s">
        <v>115</v>
      </c>
      <c r="D61" s="118" t="s">
        <v>67</v>
      </c>
      <c r="E61" s="117">
        <v>3</v>
      </c>
      <c r="F61" s="86"/>
      <c r="G61" s="87"/>
      <c r="H61" s="87"/>
      <c r="I61" s="87"/>
      <c r="J61" s="87"/>
      <c r="K61" s="91"/>
      <c r="L61" s="92"/>
      <c r="M61" s="93"/>
      <c r="N61" s="93"/>
      <c r="O61" s="93"/>
      <c r="P61" s="91"/>
      <c r="T61" s="158"/>
    </row>
    <row r="62" spans="1:20" x14ac:dyDescent="0.2">
      <c r="A62" s="82">
        <f>IF(E62&gt;0,IF(E62&gt;0,1+MAX($A$14:A61),0),0)</f>
        <v>48</v>
      </c>
      <c r="B62" s="89"/>
      <c r="C62" s="94" t="s">
        <v>311</v>
      </c>
      <c r="D62" s="118" t="s">
        <v>67</v>
      </c>
      <c r="E62" s="117">
        <v>3</v>
      </c>
      <c r="F62" s="86"/>
      <c r="G62" s="87"/>
      <c r="H62" s="87"/>
      <c r="I62" s="87"/>
      <c r="J62" s="87"/>
      <c r="K62" s="91"/>
      <c r="L62" s="92"/>
      <c r="M62" s="93"/>
      <c r="N62" s="93"/>
      <c r="O62" s="93"/>
      <c r="P62" s="91"/>
      <c r="T62" s="158"/>
    </row>
    <row r="63" spans="1:20" ht="22.5" x14ac:dyDescent="0.2">
      <c r="A63" s="82">
        <f>IF(E63&gt;0,IF(E63&gt;0,1+MAX($A$14:A62),0),0)</f>
        <v>49</v>
      </c>
      <c r="B63" s="89"/>
      <c r="C63" s="90" t="s">
        <v>312</v>
      </c>
      <c r="D63" s="118" t="s">
        <v>67</v>
      </c>
      <c r="E63" s="117">
        <v>3</v>
      </c>
      <c r="F63" s="86"/>
      <c r="G63" s="87"/>
      <c r="H63" s="87"/>
      <c r="I63" s="87"/>
      <c r="J63" s="87"/>
      <c r="K63" s="91"/>
      <c r="L63" s="92"/>
      <c r="M63" s="93"/>
      <c r="N63" s="93"/>
      <c r="O63" s="93"/>
      <c r="P63" s="91"/>
      <c r="T63" s="158"/>
    </row>
    <row r="64" spans="1:20" x14ac:dyDescent="0.2">
      <c r="A64" s="82">
        <f>IF(E64&gt;0,IF(E64&gt;0,1+MAX($A$14:A63),0),0)</f>
        <v>50</v>
      </c>
      <c r="B64" s="89"/>
      <c r="C64" s="94" t="s">
        <v>116</v>
      </c>
      <c r="D64" s="118" t="s">
        <v>265</v>
      </c>
      <c r="E64" s="117">
        <v>1</v>
      </c>
      <c r="F64" s="86"/>
      <c r="G64" s="87"/>
      <c r="H64" s="87"/>
      <c r="I64" s="87"/>
      <c r="J64" s="87"/>
      <c r="K64" s="91"/>
      <c r="L64" s="92"/>
      <c r="M64" s="93"/>
      <c r="N64" s="93"/>
      <c r="O64" s="93"/>
      <c r="P64" s="91"/>
      <c r="T64" s="158"/>
    </row>
    <row r="65" spans="1:20" x14ac:dyDescent="0.2">
      <c r="A65" s="82"/>
      <c r="B65" s="89"/>
      <c r="C65" s="180" t="s">
        <v>299</v>
      </c>
      <c r="D65" s="118"/>
      <c r="E65" s="117"/>
      <c r="F65" s="86"/>
      <c r="G65" s="87"/>
      <c r="H65" s="87"/>
      <c r="I65" s="87"/>
      <c r="J65" s="87"/>
      <c r="K65" s="91"/>
      <c r="L65" s="92"/>
      <c r="M65" s="93"/>
      <c r="N65" s="93"/>
      <c r="O65" s="93"/>
      <c r="P65" s="91"/>
      <c r="T65" s="158"/>
    </row>
    <row r="66" spans="1:20" x14ac:dyDescent="0.2">
      <c r="A66" s="82">
        <f>IF(E66&gt;0,IF(E66&gt;0,1+MAX($A$14:A64),0),0)</f>
        <v>51</v>
      </c>
      <c r="B66" s="89"/>
      <c r="C66" s="84" t="s">
        <v>316</v>
      </c>
      <c r="D66" s="114" t="s">
        <v>73</v>
      </c>
      <c r="E66" s="115">
        <v>81.7</v>
      </c>
      <c r="F66" s="86"/>
      <c r="G66" s="87"/>
      <c r="H66" s="87"/>
      <c r="I66" s="87"/>
      <c r="J66" s="87"/>
      <c r="K66" s="91"/>
      <c r="L66" s="92"/>
      <c r="M66" s="93"/>
      <c r="N66" s="93"/>
      <c r="O66" s="93"/>
      <c r="P66" s="91"/>
      <c r="T66" s="158"/>
    </row>
    <row r="67" spans="1:20" x14ac:dyDescent="0.2">
      <c r="A67" s="82">
        <f>IF(E67&gt;0,IF(E67&gt;0,1+MAX($A$14:A66),0),0)</f>
        <v>52</v>
      </c>
      <c r="B67" s="89"/>
      <c r="C67" s="84" t="s">
        <v>117</v>
      </c>
      <c r="D67" s="114" t="s">
        <v>65</v>
      </c>
      <c r="E67" s="115">
        <f>4.4*3</f>
        <v>13.200000000000001</v>
      </c>
      <c r="F67" s="86"/>
      <c r="G67" s="87"/>
      <c r="H67" s="87"/>
      <c r="I67" s="87"/>
      <c r="J67" s="87"/>
      <c r="K67" s="91"/>
      <c r="L67" s="92"/>
      <c r="M67" s="93"/>
      <c r="N67" s="93"/>
      <c r="O67" s="93"/>
      <c r="P67" s="91"/>
      <c r="T67" s="158"/>
    </row>
    <row r="68" spans="1:20" x14ac:dyDescent="0.2">
      <c r="A68" s="82">
        <f>IF(E68&gt;0,IF(E68&gt;0,1+MAX($A$14:A67),0),0)</f>
        <v>53</v>
      </c>
      <c r="B68" s="89"/>
      <c r="C68" s="90" t="s">
        <v>82</v>
      </c>
      <c r="D68" s="114" t="s">
        <v>83</v>
      </c>
      <c r="E68" s="115">
        <f>(7*0.9*0.05*0.16*3+2*4.4*0.05*0.1*3)*1.2</f>
        <v>0.33983999999999998</v>
      </c>
      <c r="F68" s="86"/>
      <c r="G68" s="87"/>
      <c r="H68" s="87"/>
      <c r="I68" s="87"/>
      <c r="J68" s="87"/>
      <c r="K68" s="91"/>
      <c r="L68" s="92"/>
      <c r="M68" s="93"/>
      <c r="N68" s="93"/>
      <c r="O68" s="93"/>
      <c r="P68" s="91"/>
      <c r="T68" s="158"/>
    </row>
    <row r="69" spans="1:20" x14ac:dyDescent="0.2">
      <c r="A69" s="82">
        <f>IF(E69&gt;0,IF(E69&gt;0,1+MAX($A$14:A68),0),0)</f>
        <v>54</v>
      </c>
      <c r="B69" s="89"/>
      <c r="C69" s="90" t="s">
        <v>84</v>
      </c>
      <c r="D69" s="114" t="s">
        <v>75</v>
      </c>
      <c r="E69" s="115">
        <f>E67</f>
        <v>13.200000000000001</v>
      </c>
      <c r="F69" s="86"/>
      <c r="G69" s="87"/>
      <c r="H69" s="87"/>
      <c r="I69" s="87"/>
      <c r="J69" s="87"/>
      <c r="K69" s="91"/>
      <c r="L69" s="92"/>
      <c r="M69" s="93"/>
      <c r="N69" s="93"/>
      <c r="O69" s="93"/>
      <c r="P69" s="91"/>
      <c r="T69" s="158"/>
    </row>
    <row r="70" spans="1:20" x14ac:dyDescent="0.2">
      <c r="A70" s="82">
        <f>IF(E70&gt;0,IF(E70&gt;0,1+MAX($A$14:A69),0),0)</f>
        <v>55</v>
      </c>
      <c r="B70" s="89"/>
      <c r="C70" s="84" t="s">
        <v>118</v>
      </c>
      <c r="D70" s="114" t="s">
        <v>73</v>
      </c>
      <c r="E70" s="115">
        <v>18.09</v>
      </c>
      <c r="F70" s="86"/>
      <c r="G70" s="87"/>
      <c r="H70" s="87"/>
      <c r="I70" s="87"/>
      <c r="J70" s="87"/>
      <c r="K70" s="91"/>
      <c r="L70" s="92"/>
      <c r="M70" s="93"/>
      <c r="N70" s="93"/>
      <c r="O70" s="93"/>
      <c r="P70" s="91"/>
      <c r="T70" s="158"/>
    </row>
    <row r="71" spans="1:20" ht="22.5" x14ac:dyDescent="0.2">
      <c r="A71" s="82">
        <f>IF(E71&gt;0,IF(E71&gt;0,1+MAX($A$14:A70),0),0)</f>
        <v>56</v>
      </c>
      <c r="B71" s="89"/>
      <c r="C71" s="90" t="s">
        <v>319</v>
      </c>
      <c r="D71" s="114" t="s">
        <v>73</v>
      </c>
      <c r="E71" s="115">
        <f>E70*1.1</f>
        <v>19.899000000000001</v>
      </c>
      <c r="F71" s="86"/>
      <c r="G71" s="87"/>
      <c r="H71" s="87"/>
      <c r="I71" s="87"/>
      <c r="J71" s="87"/>
      <c r="K71" s="91"/>
      <c r="L71" s="92"/>
      <c r="M71" s="93"/>
      <c r="N71" s="93"/>
      <c r="O71" s="93"/>
      <c r="P71" s="91"/>
      <c r="T71" s="158"/>
    </row>
    <row r="72" spans="1:20" ht="22.5" x14ac:dyDescent="0.2">
      <c r="A72" s="82">
        <f>IF(E72&gt;0,IF(E72&gt;0,1+MAX($A$14:A71),0),0)</f>
        <v>57</v>
      </c>
      <c r="B72" s="89"/>
      <c r="C72" s="90" t="s">
        <v>318</v>
      </c>
      <c r="D72" s="114" t="s">
        <v>73</v>
      </c>
      <c r="E72" s="115">
        <f>E71</f>
        <v>19.899000000000001</v>
      </c>
      <c r="F72" s="86"/>
      <c r="G72" s="87"/>
      <c r="H72" s="87"/>
      <c r="I72" s="87"/>
      <c r="J72" s="87"/>
      <c r="K72" s="91"/>
      <c r="L72" s="92"/>
      <c r="M72" s="93"/>
      <c r="N72" s="93"/>
      <c r="O72" s="93"/>
      <c r="P72" s="91"/>
      <c r="T72" s="158"/>
    </row>
    <row r="73" spans="1:20" ht="22.5" x14ac:dyDescent="0.2">
      <c r="A73" s="82">
        <f>IF(E73&gt;0,IF(E73&gt;0,1+MAX($A$14:A72),0),0)</f>
        <v>58</v>
      </c>
      <c r="B73" s="89"/>
      <c r="C73" s="90" t="s">
        <v>317</v>
      </c>
      <c r="D73" s="102" t="s">
        <v>73</v>
      </c>
      <c r="E73" s="117">
        <f>E71</f>
        <v>19.899000000000001</v>
      </c>
      <c r="F73" s="86"/>
      <c r="G73" s="87"/>
      <c r="H73" s="87"/>
      <c r="I73" s="87"/>
      <c r="J73" s="87"/>
      <c r="K73" s="91"/>
      <c r="L73" s="92"/>
      <c r="M73" s="93"/>
      <c r="N73" s="93"/>
      <c r="O73" s="93"/>
      <c r="P73" s="91"/>
      <c r="T73" s="158"/>
    </row>
    <row r="74" spans="1:20" x14ac:dyDescent="0.2">
      <c r="A74" s="82">
        <f>IF(E74&gt;0,IF(E74&gt;0,1+MAX($A$14:A73),0),0)</f>
        <v>59</v>
      </c>
      <c r="B74" s="89"/>
      <c r="C74" s="123" t="s">
        <v>84</v>
      </c>
      <c r="D74" s="102" t="s">
        <v>67</v>
      </c>
      <c r="E74" s="117">
        <f>E70*5</f>
        <v>90.45</v>
      </c>
      <c r="F74" s="86"/>
      <c r="G74" s="87"/>
      <c r="H74" s="87"/>
      <c r="I74" s="87"/>
      <c r="J74" s="87"/>
      <c r="K74" s="91"/>
      <c r="L74" s="92"/>
      <c r="M74" s="93"/>
      <c r="N74" s="93"/>
      <c r="O74" s="93"/>
      <c r="P74" s="91"/>
      <c r="T74" s="158"/>
    </row>
    <row r="75" spans="1:20" x14ac:dyDescent="0.2">
      <c r="A75" s="82">
        <f>IF(E75&gt;0,IF(E75&gt;0,1+MAX($A$14:A74),0),0)</f>
        <v>60</v>
      </c>
      <c r="B75" s="89"/>
      <c r="C75" s="94" t="s">
        <v>95</v>
      </c>
      <c r="D75" s="102" t="s">
        <v>65</v>
      </c>
      <c r="E75" s="115">
        <v>69.5</v>
      </c>
      <c r="F75" s="86"/>
      <c r="G75" s="87"/>
      <c r="H75" s="87"/>
      <c r="I75" s="87"/>
      <c r="J75" s="87"/>
      <c r="K75" s="91"/>
      <c r="L75" s="92"/>
      <c r="M75" s="93"/>
      <c r="N75" s="93"/>
      <c r="O75" s="93"/>
      <c r="P75" s="91"/>
      <c r="T75" s="158"/>
    </row>
    <row r="76" spans="1:20" x14ac:dyDescent="0.2">
      <c r="A76" s="82">
        <f>IF(E76&gt;0,IF(E76&gt;0,1+MAX($A$14:A75),0),0)</f>
        <v>61</v>
      </c>
      <c r="B76" s="89"/>
      <c r="C76" s="90" t="s">
        <v>96</v>
      </c>
      <c r="D76" s="102" t="s">
        <v>65</v>
      </c>
      <c r="E76" s="115">
        <f>E75*1.1</f>
        <v>76.45</v>
      </c>
      <c r="F76" s="86"/>
      <c r="G76" s="87"/>
      <c r="H76" s="87"/>
      <c r="I76" s="87"/>
      <c r="J76" s="87"/>
      <c r="K76" s="91"/>
      <c r="L76" s="92"/>
      <c r="M76" s="93"/>
      <c r="N76" s="93"/>
      <c r="O76" s="93"/>
      <c r="P76" s="91"/>
      <c r="T76" s="158"/>
    </row>
    <row r="77" spans="1:20" x14ac:dyDescent="0.2">
      <c r="A77" s="82">
        <f>IF(E77&gt;0,IF(E77&gt;0,1+MAX($A$14:A76),0),0)</f>
        <v>62</v>
      </c>
      <c r="B77" s="89"/>
      <c r="C77" s="116" t="s">
        <v>92</v>
      </c>
      <c r="D77" s="114" t="s">
        <v>73</v>
      </c>
      <c r="E77" s="115">
        <f>E66+65.9*0.3</f>
        <v>101.47</v>
      </c>
      <c r="F77" s="86"/>
      <c r="G77" s="87"/>
      <c r="H77" s="87"/>
      <c r="I77" s="87"/>
      <c r="J77" s="87"/>
      <c r="K77" s="91"/>
      <c r="L77" s="92"/>
      <c r="M77" s="93"/>
      <c r="N77" s="93"/>
      <c r="O77" s="93"/>
      <c r="P77" s="91"/>
      <c r="T77" s="158"/>
    </row>
    <row r="78" spans="1:20" x14ac:dyDescent="0.2">
      <c r="A78" s="82">
        <f>IF(E78&gt;0,IF(E78&gt;0,1+MAX($A$14:A77),0),0)</f>
        <v>63</v>
      </c>
      <c r="B78" s="89"/>
      <c r="C78" s="90" t="s">
        <v>308</v>
      </c>
      <c r="D78" s="102" t="s">
        <v>73</v>
      </c>
      <c r="E78" s="117">
        <f>E77*1.25</f>
        <v>126.83750000000001</v>
      </c>
      <c r="F78" s="86"/>
      <c r="G78" s="87"/>
      <c r="H78" s="87"/>
      <c r="I78" s="87"/>
      <c r="J78" s="87"/>
      <c r="K78" s="91"/>
      <c r="L78" s="92"/>
      <c r="M78" s="93"/>
      <c r="N78" s="93"/>
      <c r="O78" s="93"/>
      <c r="P78" s="91"/>
      <c r="T78" s="158"/>
    </row>
    <row r="79" spans="1:20" x14ac:dyDescent="0.2">
      <c r="A79" s="82">
        <f>IF(E79&gt;0,IF(E79&gt;0,1+MAX($A$14:A78),0),0)</f>
        <v>64</v>
      </c>
      <c r="B79" s="89"/>
      <c r="C79" s="90" t="s">
        <v>309</v>
      </c>
      <c r="D79" s="102" t="s">
        <v>73</v>
      </c>
      <c r="E79" s="115">
        <f>E78</f>
        <v>126.83750000000001</v>
      </c>
      <c r="F79" s="86"/>
      <c r="G79" s="87"/>
      <c r="H79" s="87"/>
      <c r="I79" s="87"/>
      <c r="J79" s="87"/>
      <c r="K79" s="91"/>
      <c r="L79" s="92"/>
      <c r="M79" s="93"/>
      <c r="N79" s="93"/>
      <c r="O79" s="93"/>
      <c r="P79" s="91"/>
      <c r="T79" s="158"/>
    </row>
    <row r="80" spans="1:20" x14ac:dyDescent="0.2">
      <c r="A80" s="82">
        <f>IF(E80&gt;0,IF(E80&gt;0,1+MAX($A$14:A79),0),0)</f>
        <v>65</v>
      </c>
      <c r="B80" s="89"/>
      <c r="C80" s="90" t="s">
        <v>93</v>
      </c>
      <c r="D80" s="102" t="s">
        <v>94</v>
      </c>
      <c r="E80" s="115">
        <v>2</v>
      </c>
      <c r="F80" s="86"/>
      <c r="G80" s="87"/>
      <c r="H80" s="87"/>
      <c r="I80" s="87"/>
      <c r="J80" s="87"/>
      <c r="K80" s="91"/>
      <c r="L80" s="92"/>
      <c r="M80" s="93"/>
      <c r="N80" s="93"/>
      <c r="O80" s="93"/>
      <c r="P80" s="91"/>
      <c r="T80" s="158"/>
    </row>
    <row r="81" spans="1:20" x14ac:dyDescent="0.2">
      <c r="A81" s="82">
        <f>IF(E81&gt;0,IF(E81&gt;0,1+MAX($A$14:A80),0),0)</f>
        <v>66</v>
      </c>
      <c r="B81" s="89"/>
      <c r="C81" s="94" t="s">
        <v>119</v>
      </c>
      <c r="D81" s="118" t="s">
        <v>65</v>
      </c>
      <c r="E81" s="117">
        <f>65.9+84.1</f>
        <v>150</v>
      </c>
      <c r="F81" s="86"/>
      <c r="G81" s="87"/>
      <c r="H81" s="87"/>
      <c r="I81" s="87"/>
      <c r="J81" s="87"/>
      <c r="K81" s="91"/>
      <c r="L81" s="92"/>
      <c r="M81" s="93"/>
      <c r="N81" s="93"/>
      <c r="O81" s="93"/>
      <c r="P81" s="91"/>
      <c r="T81" s="158"/>
    </row>
    <row r="82" spans="1:20" x14ac:dyDescent="0.2">
      <c r="A82" s="82">
        <f t="shared" ref="A82:A83" si="1">IF(E82&gt;0,IF(E82&gt;0,1+MAX(A81),0),0)</f>
        <v>67</v>
      </c>
      <c r="B82" s="89"/>
      <c r="C82" s="90" t="s">
        <v>321</v>
      </c>
      <c r="D82" s="114" t="s">
        <v>65</v>
      </c>
      <c r="E82" s="115">
        <f>84.1*1.1</f>
        <v>92.51</v>
      </c>
      <c r="F82" s="86"/>
      <c r="G82" s="87"/>
      <c r="H82" s="87"/>
      <c r="I82" s="87"/>
      <c r="J82" s="87"/>
      <c r="K82" s="91"/>
      <c r="L82" s="92"/>
      <c r="M82" s="93"/>
      <c r="N82" s="93"/>
      <c r="O82" s="93"/>
      <c r="P82" s="91"/>
      <c r="T82" s="158"/>
    </row>
    <row r="83" spans="1:20" x14ac:dyDescent="0.2">
      <c r="A83" s="82">
        <f t="shared" si="1"/>
        <v>68</v>
      </c>
      <c r="B83" s="89"/>
      <c r="C83" s="90" t="s">
        <v>322</v>
      </c>
      <c r="D83" s="114" t="s">
        <v>65</v>
      </c>
      <c r="E83" s="115">
        <f>65.9*1.1</f>
        <v>72.490000000000009</v>
      </c>
      <c r="F83" s="86"/>
      <c r="G83" s="87"/>
      <c r="H83" s="87"/>
      <c r="I83" s="87"/>
      <c r="J83" s="87"/>
      <c r="K83" s="91"/>
      <c r="L83" s="92"/>
      <c r="M83" s="93"/>
      <c r="N83" s="93"/>
      <c r="O83" s="93"/>
      <c r="P83" s="91"/>
      <c r="T83" s="158"/>
    </row>
    <row r="84" spans="1:20" x14ac:dyDescent="0.2">
      <c r="A84" s="82"/>
      <c r="B84" s="89"/>
      <c r="C84" s="180" t="s">
        <v>300</v>
      </c>
      <c r="D84" s="102"/>
      <c r="E84" s="110"/>
      <c r="F84" s="86"/>
      <c r="G84" s="87"/>
      <c r="H84" s="87"/>
      <c r="I84" s="87"/>
      <c r="J84" s="87"/>
      <c r="K84" s="91"/>
      <c r="L84" s="92"/>
      <c r="M84" s="93"/>
      <c r="N84" s="93"/>
      <c r="O84" s="93"/>
      <c r="P84" s="91"/>
      <c r="T84" s="158"/>
    </row>
    <row r="85" spans="1:20" x14ac:dyDescent="0.2">
      <c r="A85" s="82">
        <f>IF(E85&gt;0,IF(E85&gt;0,1+MAX($A$14:A83),0),0)</f>
        <v>69</v>
      </c>
      <c r="B85" s="89"/>
      <c r="C85" s="84" t="s">
        <v>121</v>
      </c>
      <c r="D85" s="114" t="s">
        <v>73</v>
      </c>
      <c r="E85" s="115">
        <f>4.9*3</f>
        <v>14.700000000000001</v>
      </c>
      <c r="F85" s="86"/>
      <c r="G85" s="87"/>
      <c r="H85" s="87"/>
      <c r="I85" s="87"/>
      <c r="J85" s="87"/>
      <c r="K85" s="91"/>
      <c r="L85" s="92"/>
      <c r="M85" s="93"/>
      <c r="N85" s="93"/>
      <c r="O85" s="93"/>
      <c r="P85" s="91"/>
      <c r="T85" s="158"/>
    </row>
    <row r="86" spans="1:20" x14ac:dyDescent="0.2">
      <c r="A86" s="82">
        <f ca="1">IF(E86&gt;0,IF(E86&gt;0,1+MAX($A$14:A89),0),0)</f>
        <v>71</v>
      </c>
      <c r="B86" s="89"/>
      <c r="C86" s="84" t="s">
        <v>117</v>
      </c>
      <c r="D86" s="114" t="s">
        <v>65</v>
      </c>
      <c r="E86" s="115">
        <f>2.9*3</f>
        <v>8.6999999999999993</v>
      </c>
      <c r="F86" s="86"/>
      <c r="G86" s="87"/>
      <c r="H86" s="87"/>
      <c r="I86" s="87"/>
      <c r="J86" s="87"/>
      <c r="K86" s="91"/>
      <c r="L86" s="92"/>
      <c r="M86" s="93"/>
      <c r="N86" s="93"/>
      <c r="O86" s="93"/>
      <c r="P86" s="91"/>
      <c r="T86" s="158"/>
    </row>
    <row r="87" spans="1:20" x14ac:dyDescent="0.2">
      <c r="A87" s="82">
        <f ca="1">IF(E87&gt;0,IF(E87&gt;0,1+MAX($A$14:A86),0),0)</f>
        <v>72</v>
      </c>
      <c r="B87" s="89"/>
      <c r="C87" s="90" t="s">
        <v>82</v>
      </c>
      <c r="D87" s="114" t="s">
        <v>83</v>
      </c>
      <c r="E87" s="115">
        <f>6.4*0.05*0.1*3*1.25</f>
        <v>0.12000000000000004</v>
      </c>
      <c r="F87" s="86"/>
      <c r="G87" s="87"/>
      <c r="H87" s="87"/>
      <c r="I87" s="87"/>
      <c r="J87" s="87"/>
      <c r="K87" s="91"/>
      <c r="L87" s="92"/>
      <c r="M87" s="93"/>
      <c r="N87" s="93"/>
      <c r="O87" s="93"/>
      <c r="P87" s="91"/>
      <c r="T87" s="158"/>
    </row>
    <row r="88" spans="1:20" x14ac:dyDescent="0.2">
      <c r="A88" s="82">
        <f ca="1">IF(E88&gt;0,IF(E88&gt;0,1+MAX($A$14:A87),0),0)</f>
        <v>73</v>
      </c>
      <c r="B88" s="89"/>
      <c r="C88" s="90" t="s">
        <v>84</v>
      </c>
      <c r="D88" s="114" t="s">
        <v>75</v>
      </c>
      <c r="E88" s="115">
        <f>E86</f>
        <v>8.6999999999999993</v>
      </c>
      <c r="F88" s="86"/>
      <c r="G88" s="87"/>
      <c r="H88" s="87"/>
      <c r="I88" s="87"/>
      <c r="J88" s="87"/>
      <c r="K88" s="91"/>
      <c r="L88" s="92"/>
      <c r="M88" s="93"/>
      <c r="N88" s="93"/>
      <c r="O88" s="93"/>
      <c r="P88" s="91"/>
      <c r="T88" s="158"/>
    </row>
    <row r="89" spans="1:20" x14ac:dyDescent="0.2">
      <c r="A89" s="82">
        <f>IF(E89&gt;0,IF(E89&gt;0,1+MAX($A$14:A85),0),0)</f>
        <v>70</v>
      </c>
      <c r="B89" s="89"/>
      <c r="C89" s="84" t="s">
        <v>118</v>
      </c>
      <c r="D89" s="114" t="s">
        <v>73</v>
      </c>
      <c r="E89" s="115">
        <f>E85</f>
        <v>14.700000000000001</v>
      </c>
      <c r="F89" s="86"/>
      <c r="G89" s="87"/>
      <c r="H89" s="87"/>
      <c r="I89" s="87"/>
      <c r="J89" s="87"/>
      <c r="K89" s="91"/>
      <c r="L89" s="92"/>
      <c r="M89" s="93"/>
      <c r="N89" s="93"/>
      <c r="O89" s="93"/>
      <c r="P89" s="91"/>
      <c r="T89" s="158"/>
    </row>
    <row r="90" spans="1:20" ht="22.5" x14ac:dyDescent="0.2">
      <c r="A90" s="82">
        <f ca="1">IF(E90&gt;0,IF(E90&gt;0,1+MAX($A$14:A89),0),0)</f>
        <v>71</v>
      </c>
      <c r="B90" s="89"/>
      <c r="C90" s="90" t="s">
        <v>323</v>
      </c>
      <c r="D90" s="114" t="s">
        <v>73</v>
      </c>
      <c r="E90" s="115">
        <f>E89*1.1</f>
        <v>16.170000000000002</v>
      </c>
      <c r="F90" s="86"/>
      <c r="G90" s="87"/>
      <c r="H90" s="87"/>
      <c r="I90" s="87"/>
      <c r="J90" s="87"/>
      <c r="K90" s="91"/>
      <c r="L90" s="92"/>
      <c r="M90" s="93"/>
      <c r="N90" s="93"/>
      <c r="O90" s="93"/>
      <c r="P90" s="91"/>
      <c r="T90" s="158"/>
    </row>
    <row r="91" spans="1:20" ht="22.5" x14ac:dyDescent="0.2">
      <c r="A91" s="82">
        <f ca="1">IF(E91&gt;0,IF(E91&gt;0,1+MAX($A$14:A90),0),0)</f>
        <v>74</v>
      </c>
      <c r="B91" s="89"/>
      <c r="C91" s="90" t="s">
        <v>324</v>
      </c>
      <c r="D91" s="102" t="s">
        <v>73</v>
      </c>
      <c r="E91" s="117">
        <f>E90</f>
        <v>16.170000000000002</v>
      </c>
      <c r="F91" s="86"/>
      <c r="G91" s="87"/>
      <c r="H91" s="87"/>
      <c r="I91" s="87"/>
      <c r="J91" s="87"/>
      <c r="K91" s="91"/>
      <c r="L91" s="92"/>
      <c r="M91" s="93"/>
      <c r="N91" s="93"/>
      <c r="O91" s="93"/>
      <c r="P91" s="91"/>
      <c r="T91" s="158"/>
    </row>
    <row r="92" spans="1:20" x14ac:dyDescent="0.2">
      <c r="A92" s="82">
        <f ca="1">IF(E92&gt;0,IF(E92&gt;0,1+MAX($A$14:A91),0),0)</f>
        <v>75</v>
      </c>
      <c r="B92" s="89"/>
      <c r="C92" s="123" t="s">
        <v>84</v>
      </c>
      <c r="D92" s="102" t="s">
        <v>67</v>
      </c>
      <c r="E92" s="117">
        <f>E89*5</f>
        <v>73.5</v>
      </c>
      <c r="F92" s="86"/>
      <c r="G92" s="87"/>
      <c r="H92" s="87"/>
      <c r="I92" s="87"/>
      <c r="J92" s="87"/>
      <c r="K92" s="91"/>
      <c r="L92" s="92"/>
      <c r="M92" s="93"/>
      <c r="N92" s="93"/>
      <c r="O92" s="93"/>
      <c r="P92" s="91"/>
      <c r="T92" s="158"/>
    </row>
    <row r="93" spans="1:20" x14ac:dyDescent="0.2">
      <c r="A93" s="82">
        <f ca="1">IF(E93&gt;0,IF(E93&gt;0,1+MAX($A$14:A92),0),0)</f>
        <v>76</v>
      </c>
      <c r="B93" s="89"/>
      <c r="C93" s="94" t="s">
        <v>95</v>
      </c>
      <c r="D93" s="102" t="s">
        <v>65</v>
      </c>
      <c r="E93" s="115">
        <f>(1.2*2+2.9)*3</f>
        <v>15.899999999999999</v>
      </c>
      <c r="F93" s="86"/>
      <c r="G93" s="87"/>
      <c r="H93" s="87"/>
      <c r="I93" s="87"/>
      <c r="J93" s="87"/>
      <c r="K93" s="91"/>
      <c r="L93" s="92"/>
      <c r="M93" s="93"/>
      <c r="N93" s="93"/>
      <c r="O93" s="93"/>
      <c r="P93" s="91"/>
      <c r="T93" s="158"/>
    </row>
    <row r="94" spans="1:20" x14ac:dyDescent="0.2">
      <c r="A94" s="82">
        <f ca="1">IF(E94&gt;0,IF(E94&gt;0,1+MAX($A$14:A93),0),0)</f>
        <v>77</v>
      </c>
      <c r="B94" s="89"/>
      <c r="C94" s="90" t="s">
        <v>96</v>
      </c>
      <c r="D94" s="102" t="s">
        <v>65</v>
      </c>
      <c r="E94" s="115">
        <f>E93*1.1</f>
        <v>17.489999999999998</v>
      </c>
      <c r="F94" s="86"/>
      <c r="G94" s="87"/>
      <c r="H94" s="87"/>
      <c r="I94" s="87"/>
      <c r="J94" s="87"/>
      <c r="K94" s="91"/>
      <c r="L94" s="92"/>
      <c r="M94" s="93"/>
      <c r="N94" s="93"/>
      <c r="O94" s="93"/>
      <c r="P94" s="91"/>
      <c r="T94" s="158"/>
    </row>
    <row r="95" spans="1:20" x14ac:dyDescent="0.2">
      <c r="A95" s="82">
        <f ca="1">IF(E95&gt;0,IF(E95&gt;0,1+MAX($A$14:A94),0),0)</f>
        <v>78</v>
      </c>
      <c r="B95" s="89"/>
      <c r="C95" s="94" t="s">
        <v>122</v>
      </c>
      <c r="D95" s="102" t="s">
        <v>65</v>
      </c>
      <c r="E95" s="115">
        <f>2.9*3</f>
        <v>8.6999999999999993</v>
      </c>
      <c r="F95" s="86"/>
      <c r="G95" s="87"/>
      <c r="H95" s="87"/>
      <c r="I95" s="87"/>
      <c r="J95" s="87"/>
      <c r="K95" s="91"/>
      <c r="L95" s="92"/>
      <c r="M95" s="93"/>
      <c r="N95" s="93"/>
      <c r="O95" s="93"/>
      <c r="P95" s="91"/>
      <c r="T95" s="158"/>
    </row>
    <row r="96" spans="1:20" x14ac:dyDescent="0.2">
      <c r="A96" s="82">
        <f ca="1">IF(E96&gt;0,IF(E96&gt;0,1+MAX($A$14:A95),0),0)</f>
        <v>79</v>
      </c>
      <c r="B96" s="89"/>
      <c r="C96" s="90" t="s">
        <v>325</v>
      </c>
      <c r="D96" s="102" t="s">
        <v>73</v>
      </c>
      <c r="E96" s="115">
        <f>E95*0.3*1.25</f>
        <v>3.2624999999999997</v>
      </c>
      <c r="F96" s="86"/>
      <c r="G96" s="87"/>
      <c r="H96" s="87"/>
      <c r="I96" s="87"/>
      <c r="J96" s="87"/>
      <c r="K96" s="91"/>
      <c r="L96" s="92"/>
      <c r="M96" s="93"/>
      <c r="N96" s="93"/>
      <c r="O96" s="93"/>
      <c r="P96" s="91"/>
      <c r="T96" s="158"/>
    </row>
    <row r="97" spans="1:20" x14ac:dyDescent="0.2">
      <c r="A97" s="82">
        <f ca="1">IF(E97&gt;0,IF(E97&gt;0,1+MAX($A$14:A96),0),0)</f>
        <v>80</v>
      </c>
      <c r="B97" s="89"/>
      <c r="C97" s="94" t="s">
        <v>162</v>
      </c>
      <c r="D97" s="102" t="s">
        <v>110</v>
      </c>
      <c r="E97" s="198">
        <f>2.9*3</f>
        <v>8.6999999999999993</v>
      </c>
      <c r="F97" s="86"/>
      <c r="G97" s="87"/>
      <c r="H97" s="87"/>
      <c r="I97" s="87"/>
      <c r="J97" s="87"/>
      <c r="K97" s="91"/>
      <c r="L97" s="92"/>
      <c r="M97" s="93"/>
      <c r="N97" s="93"/>
      <c r="O97" s="93"/>
      <c r="P97" s="91"/>
      <c r="T97" s="158"/>
    </row>
    <row r="98" spans="1:20" x14ac:dyDescent="0.2">
      <c r="A98" s="82">
        <f ca="1">IF(E98&gt;0,IF(E98&gt;0,1+MAX($A$14:A97),0),0)</f>
        <v>81</v>
      </c>
      <c r="B98" s="89"/>
      <c r="C98" s="206" t="s">
        <v>163</v>
      </c>
      <c r="D98" s="102" t="s">
        <v>65</v>
      </c>
      <c r="E98" s="198">
        <f>E97*1.1</f>
        <v>9.57</v>
      </c>
      <c r="F98" s="86"/>
      <c r="G98" s="87"/>
      <c r="H98" s="87"/>
      <c r="I98" s="87"/>
      <c r="J98" s="87"/>
      <c r="K98" s="91"/>
      <c r="L98" s="92"/>
      <c r="M98" s="93"/>
      <c r="N98" s="93"/>
      <c r="O98" s="93"/>
      <c r="P98" s="91"/>
      <c r="T98" s="158"/>
    </row>
    <row r="99" spans="1:20" x14ac:dyDescent="0.2">
      <c r="A99" s="82">
        <f ca="1">IF(E99&gt;0,IF(E99&gt;0,1+MAX($A$14:A96),0),0)</f>
        <v>80</v>
      </c>
      <c r="B99" s="89"/>
      <c r="C99" s="116" t="s">
        <v>92</v>
      </c>
      <c r="D99" s="114" t="s">
        <v>73</v>
      </c>
      <c r="E99" s="115">
        <f>E89+(1.2*2+2.9)*0.3*3</f>
        <v>19.47</v>
      </c>
      <c r="F99" s="86"/>
      <c r="G99" s="87"/>
      <c r="H99" s="87"/>
      <c r="I99" s="87"/>
      <c r="J99" s="87"/>
      <c r="K99" s="91"/>
      <c r="L99" s="92"/>
      <c r="M99" s="93"/>
      <c r="N99" s="93"/>
      <c r="O99" s="93"/>
      <c r="P99" s="91"/>
      <c r="T99" s="158"/>
    </row>
    <row r="100" spans="1:20" x14ac:dyDescent="0.2">
      <c r="A100" s="82">
        <f ca="1">IF(E100&gt;0,IF(E100&gt;0,1+MAX($A$14:A99),0),0)</f>
        <v>82</v>
      </c>
      <c r="B100" s="89"/>
      <c r="C100" s="90" t="s">
        <v>308</v>
      </c>
      <c r="D100" s="102" t="s">
        <v>73</v>
      </c>
      <c r="E100" s="117">
        <f>E99*1.25</f>
        <v>24.337499999999999</v>
      </c>
      <c r="F100" s="86"/>
      <c r="G100" s="87"/>
      <c r="H100" s="87"/>
      <c r="I100" s="87"/>
      <c r="J100" s="87"/>
      <c r="K100" s="91"/>
      <c r="L100" s="92"/>
      <c r="M100" s="93"/>
      <c r="N100" s="93"/>
      <c r="O100" s="93"/>
      <c r="P100" s="91"/>
      <c r="T100" s="158"/>
    </row>
    <row r="101" spans="1:20" x14ac:dyDescent="0.2">
      <c r="A101" s="82">
        <f ca="1">IF(E101&gt;0,IF(E101&gt;0,1+MAX($A$14:A100),0),0)</f>
        <v>83</v>
      </c>
      <c r="B101" s="89"/>
      <c r="C101" s="90" t="s">
        <v>309</v>
      </c>
      <c r="D101" s="102" t="s">
        <v>73</v>
      </c>
      <c r="E101" s="115">
        <f>E100</f>
        <v>24.337499999999999</v>
      </c>
      <c r="F101" s="86"/>
      <c r="G101" s="87"/>
      <c r="H101" s="87"/>
      <c r="I101" s="87"/>
      <c r="J101" s="87"/>
      <c r="K101" s="91"/>
      <c r="L101" s="92"/>
      <c r="M101" s="93"/>
      <c r="N101" s="93"/>
      <c r="O101" s="93"/>
      <c r="P101" s="91"/>
      <c r="T101" s="158"/>
    </row>
    <row r="102" spans="1:20" x14ac:dyDescent="0.2">
      <c r="A102" s="82">
        <f ca="1">IF(E102&gt;0,IF(E102&gt;0,1+MAX($A$14:A101),0),0)</f>
        <v>84</v>
      </c>
      <c r="B102" s="89"/>
      <c r="C102" s="90" t="s">
        <v>93</v>
      </c>
      <c r="D102" s="102" t="s">
        <v>94</v>
      </c>
      <c r="E102" s="115">
        <v>1</v>
      </c>
      <c r="F102" s="86"/>
      <c r="G102" s="87"/>
      <c r="H102" s="87"/>
      <c r="I102" s="87"/>
      <c r="J102" s="87"/>
      <c r="K102" s="91"/>
      <c r="L102" s="92"/>
      <c r="M102" s="93"/>
      <c r="N102" s="93"/>
      <c r="O102" s="93"/>
      <c r="P102" s="91"/>
      <c r="T102" s="158"/>
    </row>
    <row r="103" spans="1:20" x14ac:dyDescent="0.2">
      <c r="A103" s="82">
        <f ca="1">IF(E103&gt;0,IF(E103&gt;0,1+MAX($A$14:A102),0),0)</f>
        <v>85</v>
      </c>
      <c r="B103" s="89"/>
      <c r="C103" s="94" t="s">
        <v>123</v>
      </c>
      <c r="D103" s="102" t="s">
        <v>73</v>
      </c>
      <c r="E103" s="110">
        <f>E89+3.9*0.2*3</f>
        <v>17.04</v>
      </c>
      <c r="F103" s="86"/>
      <c r="G103" s="87"/>
      <c r="H103" s="87"/>
      <c r="I103" s="87"/>
      <c r="J103" s="87"/>
      <c r="K103" s="91"/>
      <c r="L103" s="92"/>
      <c r="M103" s="93"/>
      <c r="N103" s="93"/>
      <c r="O103" s="93"/>
      <c r="P103" s="91"/>
      <c r="T103" s="158"/>
    </row>
    <row r="104" spans="1:20" x14ac:dyDescent="0.2">
      <c r="A104" s="82">
        <f ca="1">IF(E104&gt;0,IF(E104&gt;0,1+MAX($A$14:A103),0),0)</f>
        <v>86</v>
      </c>
      <c r="B104" s="89"/>
      <c r="C104" s="90" t="s">
        <v>124</v>
      </c>
      <c r="D104" s="102" t="s">
        <v>102</v>
      </c>
      <c r="E104" s="110">
        <f>E103*7</f>
        <v>119.28</v>
      </c>
      <c r="F104" s="86"/>
      <c r="G104" s="87"/>
      <c r="H104" s="87"/>
      <c r="I104" s="87"/>
      <c r="J104" s="87"/>
      <c r="K104" s="91"/>
      <c r="L104" s="92"/>
      <c r="M104" s="93"/>
      <c r="N104" s="93"/>
      <c r="O104" s="93"/>
      <c r="P104" s="91"/>
      <c r="T104" s="158"/>
    </row>
    <row r="105" spans="1:20" x14ac:dyDescent="0.2">
      <c r="A105" s="82">
        <f ca="1">IF(E105&gt;0,IF(E105&gt;0,1+MAX($A$14:A104),0),0)</f>
        <v>87</v>
      </c>
      <c r="B105" s="89"/>
      <c r="C105" s="90" t="s">
        <v>125</v>
      </c>
      <c r="D105" s="102" t="s">
        <v>73</v>
      </c>
      <c r="E105" s="110">
        <f>E103*1.15</f>
        <v>19.595999999999997</v>
      </c>
      <c r="F105" s="86"/>
      <c r="G105" s="87"/>
      <c r="H105" s="87"/>
      <c r="I105" s="87"/>
      <c r="J105" s="87"/>
      <c r="K105" s="91"/>
      <c r="L105" s="92"/>
      <c r="M105" s="93"/>
      <c r="N105" s="93"/>
      <c r="O105" s="93"/>
      <c r="P105" s="91"/>
      <c r="T105" s="158"/>
    </row>
    <row r="106" spans="1:20" x14ac:dyDescent="0.2">
      <c r="A106" s="82">
        <f ca="1">IF(E106&gt;0,IF(E106&gt;0,1+MAX($A$14:A105),0),0)</f>
        <v>88</v>
      </c>
      <c r="B106" s="89"/>
      <c r="C106" s="90" t="s">
        <v>120</v>
      </c>
      <c r="D106" s="102" t="s">
        <v>110</v>
      </c>
      <c r="E106" s="110">
        <f>2.2*3*1.5</f>
        <v>9.9</v>
      </c>
      <c r="F106" s="86"/>
      <c r="G106" s="87"/>
      <c r="H106" s="87"/>
      <c r="I106" s="87"/>
      <c r="J106" s="87"/>
      <c r="K106" s="91"/>
      <c r="L106" s="92"/>
      <c r="M106" s="93"/>
      <c r="N106" s="93"/>
      <c r="O106" s="93"/>
      <c r="P106" s="91"/>
      <c r="T106" s="158"/>
    </row>
    <row r="107" spans="1:20" ht="22.5" x14ac:dyDescent="0.2">
      <c r="A107" s="82">
        <f ca="1">IF(E107&gt;0,IF(E107&gt;0,1+MAX($A$14:A106),0),0)</f>
        <v>89</v>
      </c>
      <c r="B107" s="89"/>
      <c r="C107" s="94" t="s">
        <v>111</v>
      </c>
      <c r="D107" s="102" t="s">
        <v>73</v>
      </c>
      <c r="E107" s="110">
        <f>E103</f>
        <v>17.04</v>
      </c>
      <c r="F107" s="86"/>
      <c r="G107" s="87"/>
      <c r="H107" s="87"/>
      <c r="I107" s="87"/>
      <c r="J107" s="87"/>
      <c r="K107" s="91"/>
      <c r="L107" s="92"/>
      <c r="M107" s="93"/>
      <c r="N107" s="93"/>
      <c r="O107" s="93"/>
      <c r="P107" s="91"/>
      <c r="T107" s="158"/>
    </row>
    <row r="108" spans="1:20" x14ac:dyDescent="0.2">
      <c r="A108" s="82">
        <f ca="1">IF(E108&gt;0,IF(E108&gt;0,1+MAX($A$14:A107),0),0)</f>
        <v>90</v>
      </c>
      <c r="B108" s="89"/>
      <c r="C108" s="90" t="s">
        <v>112</v>
      </c>
      <c r="D108" s="102" t="s">
        <v>102</v>
      </c>
      <c r="E108" s="110">
        <f>E107*0.2</f>
        <v>3.4079999999999999</v>
      </c>
      <c r="F108" s="86"/>
      <c r="G108" s="87"/>
      <c r="H108" s="87"/>
      <c r="I108" s="87"/>
      <c r="J108" s="87"/>
      <c r="K108" s="91"/>
      <c r="L108" s="92"/>
      <c r="M108" s="93"/>
      <c r="N108" s="93"/>
      <c r="O108" s="93"/>
      <c r="P108" s="91"/>
      <c r="T108" s="158"/>
    </row>
    <row r="109" spans="1:20" x14ac:dyDescent="0.2">
      <c r="A109" s="82">
        <f ca="1">IF(E109&gt;0,IF(E109&gt;0,1+MAX($A$14:A108),0),0)</f>
        <v>91</v>
      </c>
      <c r="B109" s="89"/>
      <c r="C109" s="90" t="s">
        <v>113</v>
      </c>
      <c r="D109" s="102" t="s">
        <v>102</v>
      </c>
      <c r="E109" s="110">
        <f>E107*3.3</f>
        <v>56.231999999999992</v>
      </c>
      <c r="F109" s="86"/>
      <c r="G109" s="87"/>
      <c r="H109" s="87"/>
      <c r="I109" s="87"/>
      <c r="J109" s="87"/>
      <c r="K109" s="91"/>
      <c r="L109" s="92"/>
      <c r="M109" s="93"/>
      <c r="N109" s="93"/>
      <c r="O109" s="93"/>
      <c r="P109" s="91"/>
      <c r="T109" s="158"/>
    </row>
    <row r="110" spans="1:20" x14ac:dyDescent="0.2">
      <c r="A110" s="82">
        <f ca="1">IF(E110&gt;0,IF(E110&gt;0,1+MAX($A$14:A109),0),0)</f>
        <v>92</v>
      </c>
      <c r="B110" s="89"/>
      <c r="C110" s="94" t="s">
        <v>88</v>
      </c>
      <c r="D110" s="102" t="s">
        <v>65</v>
      </c>
      <c r="E110" s="110">
        <f>3.9*2*3</f>
        <v>23.4</v>
      </c>
      <c r="F110" s="86"/>
      <c r="G110" s="87"/>
      <c r="H110" s="87"/>
      <c r="I110" s="87"/>
      <c r="J110" s="87"/>
      <c r="K110" s="91"/>
      <c r="L110" s="92"/>
      <c r="M110" s="93"/>
      <c r="N110" s="93"/>
      <c r="O110" s="93"/>
      <c r="P110" s="91"/>
      <c r="T110" s="158"/>
    </row>
    <row r="111" spans="1:20" x14ac:dyDescent="0.2">
      <c r="A111" s="82">
        <f ca="1">IF(E111&gt;0,IF(E111&gt;0,1+MAX($A$14:A109),0),0)</f>
        <v>93</v>
      </c>
      <c r="B111" s="89"/>
      <c r="C111" s="90" t="s">
        <v>126</v>
      </c>
      <c r="D111" s="102" t="s">
        <v>65</v>
      </c>
      <c r="E111" s="110">
        <f>3.9*3*1.1</f>
        <v>12.870000000000001</v>
      </c>
      <c r="F111" s="86"/>
      <c r="G111" s="87"/>
      <c r="H111" s="87"/>
      <c r="I111" s="87"/>
      <c r="J111" s="87"/>
      <c r="K111" s="91"/>
      <c r="L111" s="92"/>
      <c r="M111" s="93"/>
      <c r="N111" s="93"/>
      <c r="O111" s="93"/>
      <c r="P111" s="91"/>
      <c r="T111" s="158"/>
    </row>
    <row r="112" spans="1:20" x14ac:dyDescent="0.2">
      <c r="A112" s="82">
        <f ca="1">IF(E112&gt;0,IF(E112&gt;0,1+MAX($A$14:A110),0),0)</f>
        <v>93</v>
      </c>
      <c r="B112" s="89"/>
      <c r="C112" s="90" t="s">
        <v>126</v>
      </c>
      <c r="D112" s="102" t="s">
        <v>65</v>
      </c>
      <c r="E112" s="110">
        <f>E111</f>
        <v>12.870000000000001</v>
      </c>
      <c r="F112" s="86"/>
      <c r="G112" s="87"/>
      <c r="H112" s="87"/>
      <c r="I112" s="87"/>
      <c r="J112" s="87"/>
      <c r="K112" s="91"/>
      <c r="L112" s="92"/>
      <c r="M112" s="93"/>
      <c r="N112" s="93"/>
      <c r="O112" s="93"/>
      <c r="P112" s="91"/>
      <c r="T112" s="158"/>
    </row>
    <row r="113" spans="1:20" x14ac:dyDescent="0.2">
      <c r="A113" s="82">
        <f ca="1">IF(E113&gt;0,IF(E113&gt;0,1+MAX($A$14:A112),0),0)</f>
        <v>94</v>
      </c>
      <c r="B113" s="89"/>
      <c r="C113" s="124" t="s">
        <v>127</v>
      </c>
      <c r="D113" s="125" t="s">
        <v>110</v>
      </c>
      <c r="E113" s="201">
        <f>2.9*3+2.7*3</f>
        <v>16.8</v>
      </c>
      <c r="F113" s="86"/>
      <c r="G113" s="87"/>
      <c r="H113" s="87"/>
      <c r="I113" s="87"/>
      <c r="J113" s="87"/>
      <c r="K113" s="91"/>
      <c r="L113" s="92"/>
      <c r="M113" s="93"/>
      <c r="N113" s="93"/>
      <c r="O113" s="93"/>
      <c r="P113" s="91"/>
      <c r="T113" s="158"/>
    </row>
    <row r="114" spans="1:20" x14ac:dyDescent="0.2">
      <c r="A114" s="82">
        <f ca="1">IF(E114&gt;0,IF(E114&gt;0,1+MAX($A$14:A112),0),0)</f>
        <v>95</v>
      </c>
      <c r="B114" s="89"/>
      <c r="C114" s="126" t="s">
        <v>327</v>
      </c>
      <c r="D114" s="106" t="s">
        <v>128</v>
      </c>
      <c r="E114" s="201">
        <f>2.7*3*1.1</f>
        <v>8.9100000000000019</v>
      </c>
      <c r="F114" s="86"/>
      <c r="G114" s="87"/>
      <c r="H114" s="87"/>
      <c r="I114" s="87"/>
      <c r="J114" s="87"/>
      <c r="K114" s="91"/>
      <c r="L114" s="92"/>
      <c r="M114" s="93"/>
      <c r="N114" s="93"/>
      <c r="O114" s="93"/>
      <c r="P114" s="91"/>
      <c r="T114" s="158"/>
    </row>
    <row r="115" spans="1:20" ht="12" thickBot="1" x14ac:dyDescent="0.25">
      <c r="A115" s="82">
        <f ca="1">IF(E115&gt;0,IF(E115&gt;0,1+MAX($A$14:A113),0),0)</f>
        <v>95</v>
      </c>
      <c r="B115" s="89"/>
      <c r="C115" s="126" t="s">
        <v>326</v>
      </c>
      <c r="D115" s="106" t="s">
        <v>128</v>
      </c>
      <c r="E115" s="201">
        <f>2.9*3*1.1</f>
        <v>9.57</v>
      </c>
      <c r="F115" s="86"/>
      <c r="G115" s="87"/>
      <c r="H115" s="87"/>
      <c r="I115" s="87"/>
      <c r="J115" s="87"/>
      <c r="K115" s="91"/>
      <c r="L115" s="92"/>
      <c r="M115" s="93"/>
      <c r="N115" s="93"/>
      <c r="O115" s="93"/>
      <c r="P115" s="91"/>
      <c r="T115" s="158"/>
    </row>
    <row r="116" spans="1:20" ht="12" customHeight="1" thickBot="1" x14ac:dyDescent="0.25">
      <c r="A116" s="286" t="s">
        <v>278</v>
      </c>
      <c r="B116" s="287"/>
      <c r="C116" s="287"/>
      <c r="D116" s="287"/>
      <c r="E116" s="287"/>
      <c r="F116" s="287"/>
      <c r="G116" s="287"/>
      <c r="H116" s="287"/>
      <c r="I116" s="287"/>
      <c r="J116" s="287"/>
      <c r="K116" s="288"/>
      <c r="L116" s="95">
        <f>SUM(L14:L115)</f>
        <v>0</v>
      </c>
      <c r="M116" s="96">
        <f>SUM(M14:M115)</f>
        <v>0</v>
      </c>
      <c r="N116" s="96">
        <f>SUM(N14:N115)</f>
        <v>0</v>
      </c>
      <c r="O116" s="96">
        <f>SUM(O14:O115)</f>
        <v>0</v>
      </c>
      <c r="P116" s="97">
        <f>SUM(P14:P115)</f>
        <v>0</v>
      </c>
    </row>
    <row r="117" spans="1:20" x14ac:dyDescent="0.2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</row>
    <row r="118" spans="1:20" x14ac:dyDescent="0.2">
      <c r="A118" s="39" t="s">
        <v>14</v>
      </c>
      <c r="B118" s="64"/>
      <c r="C118" s="285" t="str">
        <f>'Kops a'!C33:H33</f>
        <v>Armands Ūbelis</v>
      </c>
      <c r="D118" s="285"/>
      <c r="E118" s="285"/>
      <c r="F118" s="285"/>
      <c r="G118" s="285"/>
      <c r="H118" s="285"/>
      <c r="I118" s="64"/>
      <c r="J118" s="64"/>
      <c r="K118" s="64"/>
      <c r="L118" s="64"/>
      <c r="M118" s="64"/>
      <c r="N118" s="64"/>
      <c r="O118" s="64"/>
      <c r="P118" s="64"/>
    </row>
    <row r="119" spans="1:20" x14ac:dyDescent="0.2">
      <c r="A119" s="64"/>
      <c r="B119" s="64"/>
      <c r="C119" s="222" t="s">
        <v>15</v>
      </c>
      <c r="D119" s="222"/>
      <c r="E119" s="222"/>
      <c r="F119" s="222"/>
      <c r="G119" s="222"/>
      <c r="H119" s="222"/>
      <c r="I119" s="64"/>
      <c r="J119" s="64"/>
      <c r="K119" s="64"/>
      <c r="L119" s="64"/>
      <c r="M119" s="64"/>
      <c r="N119" s="64"/>
      <c r="O119" s="64"/>
      <c r="P119" s="64"/>
    </row>
    <row r="120" spans="1:20" x14ac:dyDescent="0.2">
      <c r="A120" s="98" t="str">
        <f>'Kops a'!A36</f>
        <v>Tāme sastādīta 2021. gada 13. maijā</v>
      </c>
      <c r="B120" s="99"/>
      <c r="C120" s="99"/>
      <c r="D120" s="99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</row>
    <row r="121" spans="1:20" x14ac:dyDescent="0.2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</row>
    <row r="122" spans="1:20" x14ac:dyDescent="0.2">
      <c r="A122" s="39" t="s">
        <v>37</v>
      </c>
      <c r="B122" s="64"/>
      <c r="C122" s="285" t="str">
        <f>'Kops a'!C38:H38</f>
        <v xml:space="preserve"> </v>
      </c>
      <c r="D122" s="285"/>
      <c r="E122" s="285"/>
      <c r="F122" s="285"/>
      <c r="G122" s="285"/>
      <c r="H122" s="285"/>
      <c r="I122" s="64"/>
      <c r="J122" s="64"/>
      <c r="K122" s="64"/>
      <c r="L122" s="64"/>
      <c r="M122" s="64"/>
      <c r="N122" s="64"/>
      <c r="O122" s="64"/>
      <c r="P122" s="64"/>
    </row>
    <row r="123" spans="1:20" x14ac:dyDescent="0.2">
      <c r="A123" s="64"/>
      <c r="B123" s="64"/>
      <c r="C123" s="222" t="s">
        <v>15</v>
      </c>
      <c r="D123" s="222"/>
      <c r="E123" s="222"/>
      <c r="F123" s="222"/>
      <c r="G123" s="222"/>
      <c r="H123" s="222"/>
      <c r="I123" s="64"/>
      <c r="J123" s="64"/>
      <c r="K123" s="64"/>
      <c r="L123" s="64"/>
      <c r="M123" s="64"/>
      <c r="N123" s="64"/>
      <c r="O123" s="64"/>
      <c r="P123" s="64"/>
    </row>
    <row r="124" spans="1:20" x14ac:dyDescent="0.2">
      <c r="A124" s="98" t="s">
        <v>54</v>
      </c>
      <c r="B124" s="99"/>
      <c r="C124" s="100" t="str">
        <f>'Kops a'!C41</f>
        <v>4-02608</v>
      </c>
      <c r="D124" s="101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</row>
    <row r="125" spans="1:20" x14ac:dyDescent="0.2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</row>
  </sheetData>
  <mergeCells count="22">
    <mergeCell ref="C123:H123"/>
    <mergeCell ref="C4:I4"/>
    <mergeCell ref="F12:K12"/>
    <mergeCell ref="A9:F9"/>
    <mergeCell ref="J9:M9"/>
    <mergeCell ref="D8:L8"/>
    <mergeCell ref="A116:K116"/>
    <mergeCell ref="C118:H118"/>
    <mergeCell ref="C119:H119"/>
    <mergeCell ref="C122:H122"/>
    <mergeCell ref="A12:A13"/>
    <mergeCell ref="B12:B13"/>
    <mergeCell ref="C12:C13"/>
    <mergeCell ref="D12:D13"/>
    <mergeCell ref="E12:E13"/>
    <mergeCell ref="N9:O9"/>
    <mergeCell ref="L12:P12"/>
    <mergeCell ref="C2:I2"/>
    <mergeCell ref="C3:I3"/>
    <mergeCell ref="D5:L5"/>
    <mergeCell ref="D6:L6"/>
    <mergeCell ref="D7:L7"/>
  </mergeCells>
  <conditionalFormatting sqref="B14 F16:G32 I16:J32 B16:B32 B34:B39 I34:J81 F34:G81 A40:B81 A99:B110 F99:G110 I99:J110 A84:B85 A89:B96 F84:G85 F89:G96 I84:J85 I89:J96 I112:J113 F112:G113 A112:B113 A115:B115 F115:G115 I115:J115">
    <cfRule type="cellIs" dxfId="210" priority="54" operator="equal">
      <formula>0</formula>
    </cfRule>
  </conditionalFormatting>
  <conditionalFormatting sqref="N9:O9 H16:H32 K16:P32 K34:P81 H34:H81 H99:H110 K99:P110 H84:H85 H89:H96 K84:P85 K89:P96 K112:P113 H112:H113 H115 K115:P115">
    <cfRule type="cellIs" dxfId="209" priority="53" operator="equal">
      <formula>0</formula>
    </cfRule>
  </conditionalFormatting>
  <conditionalFormatting sqref="C2:I2">
    <cfRule type="cellIs" dxfId="208" priority="50" operator="equal">
      <formula>0</formula>
    </cfRule>
  </conditionalFormatting>
  <conditionalFormatting sqref="O10">
    <cfRule type="cellIs" dxfId="207" priority="49" operator="equal">
      <formula>"20__. gada __. _________"</formula>
    </cfRule>
  </conditionalFormatting>
  <conditionalFormatting sqref="K14:P14 L116:P116">
    <cfRule type="cellIs" dxfId="206" priority="43" operator="equal">
      <formula>0</formula>
    </cfRule>
  </conditionalFormatting>
  <conditionalFormatting sqref="C4:I4">
    <cfRule type="cellIs" dxfId="205" priority="42" operator="equal">
      <formula>0</formula>
    </cfRule>
  </conditionalFormatting>
  <conditionalFormatting sqref="D5:L8">
    <cfRule type="cellIs" dxfId="204" priority="40" operator="equal">
      <formula>0</formula>
    </cfRule>
  </conditionalFormatting>
  <conditionalFormatting sqref="P10">
    <cfRule type="cellIs" dxfId="203" priority="39" operator="equal">
      <formula>"20__. gada __. _________"</formula>
    </cfRule>
  </conditionalFormatting>
  <conditionalFormatting sqref="C122:H122">
    <cfRule type="cellIs" dxfId="202" priority="36" operator="equal">
      <formula>0</formula>
    </cfRule>
  </conditionalFormatting>
  <conditionalFormatting sqref="C118:H118">
    <cfRule type="cellIs" dxfId="201" priority="35" operator="equal">
      <formula>0</formula>
    </cfRule>
  </conditionalFormatting>
  <conditionalFormatting sqref="C122:H122 C124 C118:H118">
    <cfRule type="cellIs" dxfId="200" priority="34" operator="equal">
      <formula>0</formula>
    </cfRule>
  </conditionalFormatting>
  <conditionalFormatting sqref="D1">
    <cfRule type="cellIs" dxfId="199" priority="33" operator="equal">
      <formula>0</formula>
    </cfRule>
  </conditionalFormatting>
  <conditionalFormatting sqref="A9:F9">
    <cfRule type="containsText" dxfId="198" priority="3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16:K116">
    <cfRule type="containsText" dxfId="197" priority="31" operator="containsText" text="Tiešās izmaksas kopā, t. sk. darba devēja sociālais nodoklis __.__% ">
      <formula>NOT(ISERROR(SEARCH("Tiešās izmaksas kopā, t. sk. darba devēja sociālais nodoklis __.__% ",A116)))</formula>
    </cfRule>
  </conditionalFormatting>
  <conditionalFormatting sqref="A14">
    <cfRule type="cellIs" dxfId="196" priority="30" operator="equal">
      <formula>0</formula>
    </cfRule>
  </conditionalFormatting>
  <conditionalFormatting sqref="F14:G14 I14:J14">
    <cfRule type="cellIs" dxfId="195" priority="28" operator="equal">
      <formula>0</formula>
    </cfRule>
  </conditionalFormatting>
  <conditionalFormatting sqref="H14">
    <cfRule type="cellIs" dxfId="194" priority="27" operator="equal">
      <formula>0</formula>
    </cfRule>
  </conditionalFormatting>
  <conditionalFormatting sqref="B15">
    <cfRule type="cellIs" dxfId="193" priority="24" operator="equal">
      <formula>0</formula>
    </cfRule>
  </conditionalFormatting>
  <conditionalFormatting sqref="K15:P15">
    <cfRule type="cellIs" dxfId="192" priority="23" operator="equal">
      <formula>0</formula>
    </cfRule>
  </conditionalFormatting>
  <conditionalFormatting sqref="A15:A39">
    <cfRule type="cellIs" dxfId="191" priority="22" operator="equal">
      <formula>0</formula>
    </cfRule>
  </conditionalFormatting>
  <conditionalFormatting sqref="F15:G15 I15:J15">
    <cfRule type="cellIs" dxfId="190" priority="21" operator="equal">
      <formula>0</formula>
    </cfRule>
  </conditionalFormatting>
  <conditionalFormatting sqref="H15">
    <cfRule type="cellIs" dxfId="189" priority="20" operator="equal">
      <formula>0</formula>
    </cfRule>
  </conditionalFormatting>
  <conditionalFormatting sqref="B33 F33:G33 I33:J33">
    <cfRule type="cellIs" dxfId="188" priority="19" operator="equal">
      <formula>0</formula>
    </cfRule>
  </conditionalFormatting>
  <conditionalFormatting sqref="H33 K33:P33">
    <cfRule type="cellIs" dxfId="187" priority="18" operator="equal">
      <formula>0</formula>
    </cfRule>
  </conditionalFormatting>
  <conditionalFormatting sqref="F82:G82 I82:J82 B82">
    <cfRule type="cellIs" dxfId="186" priority="17" operator="equal">
      <formula>0</formula>
    </cfRule>
  </conditionalFormatting>
  <conditionalFormatting sqref="H82 K82:P82">
    <cfRule type="cellIs" dxfId="185" priority="16" operator="equal">
      <formula>0</formula>
    </cfRule>
  </conditionalFormatting>
  <conditionalFormatting sqref="A82:A83">
    <cfRule type="cellIs" dxfId="184" priority="15" operator="equal">
      <formula>0</formula>
    </cfRule>
  </conditionalFormatting>
  <conditionalFormatting sqref="B83 F83:G83 I83:J83">
    <cfRule type="cellIs" dxfId="183" priority="14" operator="equal">
      <formula>0</formula>
    </cfRule>
  </conditionalFormatting>
  <conditionalFormatting sqref="H83 K83:P83">
    <cfRule type="cellIs" dxfId="182" priority="13" operator="equal">
      <formula>0</formula>
    </cfRule>
  </conditionalFormatting>
  <conditionalFormatting sqref="I86:J89 F86:G89 A86:B89">
    <cfRule type="cellIs" dxfId="181" priority="12" operator="equal">
      <formula>0</formula>
    </cfRule>
  </conditionalFormatting>
  <conditionalFormatting sqref="K86:P89 H86:H89">
    <cfRule type="cellIs" dxfId="180" priority="11" operator="equal">
      <formula>0</formula>
    </cfRule>
  </conditionalFormatting>
  <conditionalFormatting sqref="B97:B98 D97:E98">
    <cfRule type="cellIs" dxfId="179" priority="10" operator="equal">
      <formula>0</formula>
    </cfRule>
  </conditionalFormatting>
  <conditionalFormatting sqref="K97:P98">
    <cfRule type="cellIs" dxfId="178" priority="9" operator="equal">
      <formula>0</formula>
    </cfRule>
  </conditionalFormatting>
  <conditionalFormatting sqref="C97:C98">
    <cfRule type="cellIs" dxfId="177" priority="8" operator="equal">
      <formula>0</formula>
    </cfRule>
  </conditionalFormatting>
  <conditionalFormatting sqref="A97:A98">
    <cfRule type="cellIs" dxfId="176" priority="7" operator="equal">
      <formula>0</formula>
    </cfRule>
  </conditionalFormatting>
  <conditionalFormatting sqref="F97:G98 I97:J98">
    <cfRule type="cellIs" dxfId="175" priority="6" operator="equal">
      <formula>0</formula>
    </cfRule>
  </conditionalFormatting>
  <conditionalFormatting sqref="H97:H98">
    <cfRule type="cellIs" dxfId="174" priority="5" operator="equal">
      <formula>0</formula>
    </cfRule>
  </conditionalFormatting>
  <conditionalFormatting sqref="I111:J111 F111:G111 A111:B111">
    <cfRule type="cellIs" dxfId="173" priority="4" operator="equal">
      <formula>0</formula>
    </cfRule>
  </conditionalFormatting>
  <conditionalFormatting sqref="K111:P111 H111">
    <cfRule type="cellIs" dxfId="172" priority="3" operator="equal">
      <formula>0</formula>
    </cfRule>
  </conditionalFormatting>
  <conditionalFormatting sqref="A114:B114 F114:G114 I114:J114">
    <cfRule type="cellIs" dxfId="171" priority="2" operator="equal">
      <formula>0</formula>
    </cfRule>
  </conditionalFormatting>
  <conditionalFormatting sqref="H114 K114:P114">
    <cfRule type="cellIs" dxfId="170" priority="1" operator="equal">
      <formula>0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8" operator="containsText" id="{46B16A03-C867-4231-9EE2-FA19DDA4D492}">
            <xm:f>NOT(ISERROR(SEARCH("Tāme sastādīta ____. gada ___. ______________",A120)))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A120</xm:sqref>
        </x14:conditionalFormatting>
        <x14:conditionalFormatting xmlns:xm="http://schemas.microsoft.com/office/excel/2006/main">
          <x14:cfRule type="containsText" priority="37" operator="containsText" id="{2AF3CC58-04F0-4432-AA0F-D3D058C3CAD1}">
            <xm:f>NOT(ISERROR(SEARCH("Sertifikāta Nr. _________________________________",A124)))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A124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T75"/>
  <sheetViews>
    <sheetView topLeftCell="A5" zoomScaleNormal="100" workbookViewId="0">
      <selection activeCell="F14" sqref="F14:P62"/>
    </sheetView>
  </sheetViews>
  <sheetFormatPr defaultColWidth="9.140625" defaultRowHeight="11.25" x14ac:dyDescent="0.2"/>
  <cols>
    <col min="1" max="1" width="4.5703125" style="39" customWidth="1"/>
    <col min="2" max="2" width="5.28515625" style="39" customWidth="1"/>
    <col min="3" max="3" width="38.42578125" style="39" customWidth="1"/>
    <col min="4" max="4" width="5.85546875" style="39" customWidth="1"/>
    <col min="5" max="5" width="8.7109375" style="39" customWidth="1"/>
    <col min="6" max="6" width="5.42578125" style="39" customWidth="1"/>
    <col min="7" max="7" width="4.85546875" style="39" customWidth="1"/>
    <col min="8" max="10" width="6.7109375" style="39" customWidth="1"/>
    <col min="11" max="11" width="7" style="39" customWidth="1"/>
    <col min="12" max="15" width="7.7109375" style="39" customWidth="1"/>
    <col min="16" max="16" width="9" style="39" customWidth="1"/>
    <col min="17" max="16384" width="9.140625" style="39"/>
  </cols>
  <sheetData>
    <row r="1" spans="1:20" x14ac:dyDescent="0.2">
      <c r="A1" s="65"/>
      <c r="B1" s="65"/>
      <c r="C1" s="66" t="s">
        <v>38</v>
      </c>
      <c r="D1" s="67">
        <f>'Kops a'!A17</f>
        <v>0</v>
      </c>
      <c r="E1" s="65"/>
      <c r="F1" s="65"/>
      <c r="G1" s="65"/>
      <c r="H1" s="65"/>
      <c r="I1" s="65"/>
      <c r="J1" s="65"/>
      <c r="N1" s="68"/>
      <c r="O1" s="66"/>
      <c r="P1" s="69"/>
    </row>
    <row r="2" spans="1:20" x14ac:dyDescent="0.2">
      <c r="A2" s="70"/>
      <c r="B2" s="70"/>
      <c r="C2" s="268" t="s">
        <v>58</v>
      </c>
      <c r="D2" s="268"/>
      <c r="E2" s="268"/>
      <c r="F2" s="268"/>
      <c r="G2" s="268"/>
      <c r="H2" s="268"/>
      <c r="I2" s="268"/>
      <c r="J2" s="70"/>
    </row>
    <row r="3" spans="1:20" x14ac:dyDescent="0.2">
      <c r="A3" s="71"/>
      <c r="B3" s="71"/>
      <c r="C3" s="231" t="s">
        <v>17</v>
      </c>
      <c r="D3" s="231"/>
      <c r="E3" s="231"/>
      <c r="F3" s="231"/>
      <c r="G3" s="231"/>
      <c r="H3" s="231"/>
      <c r="I3" s="231"/>
      <c r="J3" s="71"/>
    </row>
    <row r="4" spans="1:20" x14ac:dyDescent="0.2">
      <c r="A4" s="71"/>
      <c r="B4" s="71"/>
      <c r="C4" s="269" t="s">
        <v>52</v>
      </c>
      <c r="D4" s="269"/>
      <c r="E4" s="269"/>
      <c r="F4" s="269"/>
      <c r="G4" s="269"/>
      <c r="H4" s="269"/>
      <c r="I4" s="269"/>
      <c r="J4" s="71"/>
    </row>
    <row r="5" spans="1:20" x14ac:dyDescent="0.2">
      <c r="A5" s="65"/>
      <c r="B5" s="65"/>
      <c r="C5" s="66" t="s">
        <v>5</v>
      </c>
      <c r="D5" s="282" t="str">
        <f>'Kops a'!D6</f>
        <v>Daudzdzīvokļu dzīvojamās ēkas vienkāršota fasādes atjaunošana.</v>
      </c>
      <c r="E5" s="282"/>
      <c r="F5" s="282"/>
      <c r="G5" s="282"/>
      <c r="H5" s="282"/>
      <c r="I5" s="282"/>
      <c r="J5" s="282"/>
      <c r="K5" s="282"/>
      <c r="L5" s="282"/>
      <c r="M5" s="64"/>
      <c r="N5" s="64"/>
      <c r="O5" s="64"/>
      <c r="P5" s="64"/>
    </row>
    <row r="6" spans="1:20" x14ac:dyDescent="0.2">
      <c r="A6" s="65"/>
      <c r="B6" s="65"/>
      <c r="C6" s="66" t="s">
        <v>6</v>
      </c>
      <c r="D6" s="282" t="str">
        <f>'Kops a'!D7</f>
        <v>Daudzdzīvokļu dzīvojamās ēkas vienkāršota fasādes atjaunošana.</v>
      </c>
      <c r="E6" s="282"/>
      <c r="F6" s="282"/>
      <c r="G6" s="282"/>
      <c r="H6" s="282"/>
      <c r="I6" s="282"/>
      <c r="J6" s="282"/>
      <c r="K6" s="282"/>
      <c r="L6" s="282"/>
      <c r="M6" s="64"/>
      <c r="N6" s="64"/>
      <c r="O6" s="64"/>
      <c r="P6" s="64"/>
    </row>
    <row r="7" spans="1:20" x14ac:dyDescent="0.2">
      <c r="A7" s="65"/>
      <c r="B7" s="65"/>
      <c r="C7" s="66" t="s">
        <v>7</v>
      </c>
      <c r="D7" s="282" t="str">
        <f>'Kops a'!D8</f>
        <v>Smilšu iela 42, k-1, Tukums</v>
      </c>
      <c r="E7" s="282"/>
      <c r="F7" s="282"/>
      <c r="G7" s="282"/>
      <c r="H7" s="282"/>
      <c r="I7" s="282"/>
      <c r="J7" s="282"/>
      <c r="K7" s="282"/>
      <c r="L7" s="282"/>
      <c r="M7" s="64"/>
      <c r="N7" s="64"/>
      <c r="O7" s="64"/>
      <c r="P7" s="64"/>
    </row>
    <row r="8" spans="1:20" x14ac:dyDescent="0.2">
      <c r="A8" s="65"/>
      <c r="B8" s="65"/>
      <c r="C8" s="205" t="s">
        <v>20</v>
      </c>
      <c r="D8" s="282" t="str">
        <f>'Kops a'!D9</f>
        <v xml:space="preserve"> </v>
      </c>
      <c r="E8" s="282"/>
      <c r="F8" s="282"/>
      <c r="G8" s="282"/>
      <c r="H8" s="282"/>
      <c r="I8" s="282"/>
      <c r="J8" s="282"/>
      <c r="K8" s="282"/>
      <c r="L8" s="282"/>
      <c r="M8" s="64"/>
      <c r="N8" s="64"/>
      <c r="O8" s="64"/>
      <c r="P8" s="64"/>
    </row>
    <row r="9" spans="1:20" ht="11.25" customHeight="1" x14ac:dyDescent="0.2">
      <c r="A9" s="270" t="s">
        <v>293</v>
      </c>
      <c r="B9" s="270"/>
      <c r="C9" s="270"/>
      <c r="D9" s="270"/>
      <c r="E9" s="270"/>
      <c r="F9" s="270"/>
      <c r="G9" s="72"/>
      <c r="H9" s="72"/>
      <c r="I9" s="72"/>
      <c r="J9" s="274" t="s">
        <v>39</v>
      </c>
      <c r="K9" s="274"/>
      <c r="L9" s="274"/>
      <c r="M9" s="274"/>
      <c r="N9" s="281">
        <f>P63</f>
        <v>0</v>
      </c>
      <c r="O9" s="281"/>
      <c r="P9" s="72"/>
    </row>
    <row r="10" spans="1:20" x14ac:dyDescent="0.2">
      <c r="A10" s="73"/>
      <c r="B10" s="74"/>
      <c r="C10" s="205"/>
      <c r="D10" s="65"/>
      <c r="E10" s="65"/>
      <c r="F10" s="65"/>
      <c r="G10" s="65"/>
      <c r="H10" s="65"/>
      <c r="I10" s="65"/>
      <c r="J10" s="65"/>
      <c r="K10" s="65"/>
      <c r="L10" s="70"/>
      <c r="M10" s="70"/>
      <c r="O10" s="75"/>
      <c r="P10" s="76" t="str">
        <f>A69</f>
        <v>Tāme sastādīta 2021. gada 13. maijā</v>
      </c>
    </row>
    <row r="11" spans="1:20" ht="12" thickBot="1" x14ac:dyDescent="0.25">
      <c r="A11" s="73"/>
      <c r="B11" s="74"/>
      <c r="C11" s="205"/>
      <c r="D11" s="65"/>
      <c r="E11" s="65"/>
      <c r="F11" s="65"/>
      <c r="G11" s="65"/>
      <c r="H11" s="65"/>
      <c r="I11" s="65"/>
      <c r="J11" s="65"/>
      <c r="K11" s="65"/>
      <c r="L11" s="77"/>
      <c r="M11" s="77"/>
      <c r="N11" s="78"/>
      <c r="O11" s="68"/>
      <c r="P11" s="65"/>
    </row>
    <row r="12" spans="1:20" x14ac:dyDescent="0.2">
      <c r="A12" s="244" t="s">
        <v>23</v>
      </c>
      <c r="B12" s="276" t="s">
        <v>40</v>
      </c>
      <c r="C12" s="272" t="s">
        <v>41</v>
      </c>
      <c r="D12" s="279" t="s">
        <v>42</v>
      </c>
      <c r="E12" s="283" t="s">
        <v>43</v>
      </c>
      <c r="F12" s="271" t="s">
        <v>44</v>
      </c>
      <c r="G12" s="272"/>
      <c r="H12" s="272"/>
      <c r="I12" s="272"/>
      <c r="J12" s="272"/>
      <c r="K12" s="273"/>
      <c r="L12" s="271" t="s">
        <v>45</v>
      </c>
      <c r="M12" s="272"/>
      <c r="N12" s="272"/>
      <c r="O12" s="272"/>
      <c r="P12" s="273"/>
    </row>
    <row r="13" spans="1:20" ht="126.75" customHeight="1" thickBot="1" x14ac:dyDescent="0.25">
      <c r="A13" s="275"/>
      <c r="B13" s="277"/>
      <c r="C13" s="278"/>
      <c r="D13" s="280"/>
      <c r="E13" s="284"/>
      <c r="F13" s="208" t="s">
        <v>46</v>
      </c>
      <c r="G13" s="209" t="s">
        <v>47</v>
      </c>
      <c r="H13" s="209" t="s">
        <v>48</v>
      </c>
      <c r="I13" s="209" t="s">
        <v>49</v>
      </c>
      <c r="J13" s="209" t="s">
        <v>50</v>
      </c>
      <c r="K13" s="81" t="s">
        <v>51</v>
      </c>
      <c r="L13" s="208" t="s">
        <v>46</v>
      </c>
      <c r="M13" s="209" t="s">
        <v>48</v>
      </c>
      <c r="N13" s="209" t="s">
        <v>49</v>
      </c>
      <c r="O13" s="209" t="s">
        <v>50</v>
      </c>
      <c r="P13" s="81" t="s">
        <v>51</v>
      </c>
    </row>
    <row r="14" spans="1:20" x14ac:dyDescent="0.2">
      <c r="A14" s="82">
        <f>IF(E14&gt;0,IF(E14&gt;0,1+MAX(A13),0),0)</f>
        <v>1</v>
      </c>
      <c r="B14" s="83"/>
      <c r="C14" s="94" t="s">
        <v>129</v>
      </c>
      <c r="D14" s="102" t="s">
        <v>110</v>
      </c>
      <c r="E14" s="110">
        <v>103.08</v>
      </c>
      <c r="F14" s="86"/>
      <c r="G14" s="87"/>
      <c r="H14" s="87"/>
      <c r="I14" s="87"/>
      <c r="J14" s="87"/>
      <c r="K14" s="88"/>
      <c r="L14" s="86"/>
      <c r="M14" s="87"/>
      <c r="N14" s="87"/>
      <c r="O14" s="87"/>
      <c r="P14" s="88"/>
      <c r="T14" s="158"/>
    </row>
    <row r="15" spans="1:20" ht="22.5" x14ac:dyDescent="0.2">
      <c r="A15" s="82">
        <f>IF(E15&gt;0,IF(E15&gt;0,1+MAX(A14),0),0)</f>
        <v>2</v>
      </c>
      <c r="B15" s="89"/>
      <c r="C15" s="94" t="s">
        <v>130</v>
      </c>
      <c r="D15" s="102" t="s">
        <v>83</v>
      </c>
      <c r="E15" s="110">
        <f>E14*0.4*1</f>
        <v>41.231999999999999</v>
      </c>
      <c r="F15" s="86"/>
      <c r="G15" s="87"/>
      <c r="H15" s="87"/>
      <c r="I15" s="87"/>
      <c r="J15" s="87"/>
      <c r="K15" s="91"/>
      <c r="L15" s="92"/>
      <c r="M15" s="93"/>
      <c r="N15" s="93"/>
      <c r="O15" s="93"/>
      <c r="P15" s="91"/>
      <c r="T15" s="158"/>
    </row>
    <row r="16" spans="1:20" ht="22.5" x14ac:dyDescent="0.2">
      <c r="A16" s="82">
        <f>IF(E16&gt;0,IF(E16&gt;0,1+MAX($A$14:A15),0),0)</f>
        <v>3</v>
      </c>
      <c r="B16" s="89"/>
      <c r="C16" s="94" t="s">
        <v>131</v>
      </c>
      <c r="D16" s="102" t="s">
        <v>73</v>
      </c>
      <c r="E16" s="110">
        <v>114.19</v>
      </c>
      <c r="F16" s="86"/>
      <c r="G16" s="87"/>
      <c r="H16" s="87"/>
      <c r="I16" s="87"/>
      <c r="J16" s="87"/>
      <c r="K16" s="91"/>
      <c r="L16" s="92"/>
      <c r="M16" s="93"/>
      <c r="N16" s="93"/>
      <c r="O16" s="93"/>
      <c r="P16" s="91"/>
      <c r="T16" s="158"/>
    </row>
    <row r="17" spans="1:20" x14ac:dyDescent="0.2">
      <c r="A17" s="82">
        <f>IF(E17&gt;0,IF(E17&gt;0,1+MAX($A$14:A16),0),0)</f>
        <v>4</v>
      </c>
      <c r="B17" s="89"/>
      <c r="C17" s="94" t="s">
        <v>132</v>
      </c>
      <c r="D17" s="102" t="s">
        <v>73</v>
      </c>
      <c r="E17" s="110">
        <v>163.06</v>
      </c>
      <c r="F17" s="86"/>
      <c r="G17" s="87"/>
      <c r="H17" s="87"/>
      <c r="I17" s="87"/>
      <c r="J17" s="87"/>
      <c r="K17" s="91"/>
      <c r="L17" s="92"/>
      <c r="M17" s="93"/>
      <c r="N17" s="93"/>
      <c r="O17" s="93"/>
      <c r="P17" s="91"/>
      <c r="T17" s="158"/>
    </row>
    <row r="18" spans="1:20" x14ac:dyDescent="0.2">
      <c r="A18" s="82">
        <f>IF(E18&gt;0,IF(E18&gt;0,1+MAX($A$14:A17),0),0)</f>
        <v>5</v>
      </c>
      <c r="B18" s="89"/>
      <c r="C18" s="90" t="s">
        <v>133</v>
      </c>
      <c r="D18" s="102" t="s">
        <v>102</v>
      </c>
      <c r="E18" s="110">
        <f>E17*2</f>
        <v>326.12</v>
      </c>
      <c r="F18" s="86"/>
      <c r="G18" s="87"/>
      <c r="H18" s="87"/>
      <c r="I18" s="87"/>
      <c r="J18" s="87"/>
      <c r="K18" s="91"/>
      <c r="L18" s="92"/>
      <c r="M18" s="93"/>
      <c r="N18" s="93"/>
      <c r="O18" s="93"/>
      <c r="P18" s="91"/>
      <c r="T18" s="158"/>
    </row>
    <row r="19" spans="1:20" x14ac:dyDescent="0.2">
      <c r="A19" s="82">
        <f>IF(E19&gt;0,IF(E19&gt;0,1+MAX($A$14:A18),0),0)</f>
        <v>6</v>
      </c>
      <c r="B19" s="89"/>
      <c r="C19" s="94" t="s">
        <v>134</v>
      </c>
      <c r="D19" s="102" t="s">
        <v>73</v>
      </c>
      <c r="E19" s="110">
        <v>36.520000000000003</v>
      </c>
      <c r="F19" s="86"/>
      <c r="G19" s="87"/>
      <c r="H19" s="87"/>
      <c r="I19" s="87"/>
      <c r="J19" s="87"/>
      <c r="K19" s="91"/>
      <c r="L19" s="92"/>
      <c r="M19" s="93"/>
      <c r="N19" s="93"/>
      <c r="O19" s="93"/>
      <c r="P19" s="91"/>
      <c r="T19" s="158"/>
    </row>
    <row r="20" spans="1:20" x14ac:dyDescent="0.2">
      <c r="A20" s="82">
        <f>IF(E20&gt;0,IF(E20&gt;0,1+MAX($A$14:A19),0),0)</f>
        <v>7</v>
      </c>
      <c r="B20" s="89"/>
      <c r="C20" s="90" t="s">
        <v>135</v>
      </c>
      <c r="D20" s="102" t="s">
        <v>73</v>
      </c>
      <c r="E20" s="110">
        <f>E19*1.1</f>
        <v>40.172000000000004</v>
      </c>
      <c r="F20" s="86"/>
      <c r="G20" s="87"/>
      <c r="H20" s="87"/>
      <c r="I20" s="87"/>
      <c r="J20" s="87"/>
      <c r="K20" s="91"/>
      <c r="L20" s="92"/>
      <c r="M20" s="93"/>
      <c r="N20" s="93"/>
      <c r="O20" s="93"/>
      <c r="P20" s="91"/>
      <c r="T20" s="158"/>
    </row>
    <row r="21" spans="1:20" x14ac:dyDescent="0.2">
      <c r="A21" s="82">
        <f>IF(E21&gt;0,IF(E21&gt;0,1+MAX($A$14:A20),0),0)</f>
        <v>8</v>
      </c>
      <c r="B21" s="89"/>
      <c r="C21" s="119" t="s">
        <v>290</v>
      </c>
      <c r="D21" s="102" t="s">
        <v>73</v>
      </c>
      <c r="E21" s="110">
        <f>E16</f>
        <v>114.19</v>
      </c>
      <c r="F21" s="86"/>
      <c r="G21" s="87"/>
      <c r="H21" s="87"/>
      <c r="I21" s="87"/>
      <c r="J21" s="87"/>
      <c r="K21" s="91"/>
      <c r="L21" s="92"/>
      <c r="M21" s="93"/>
      <c r="N21" s="93"/>
      <c r="O21" s="93"/>
      <c r="P21" s="91"/>
      <c r="T21" s="158"/>
    </row>
    <row r="22" spans="1:20" x14ac:dyDescent="0.2">
      <c r="A22" s="82">
        <f>IF(E22&gt;0,IF(E22&gt;0,1+MAX($A$14:A21),0),0)</f>
        <v>9</v>
      </c>
      <c r="B22" s="89"/>
      <c r="C22" s="120" t="s">
        <v>112</v>
      </c>
      <c r="D22" s="102" t="s">
        <v>102</v>
      </c>
      <c r="E22" s="110">
        <f>E21*0.2</f>
        <v>22.838000000000001</v>
      </c>
      <c r="F22" s="86"/>
      <c r="G22" s="87"/>
      <c r="H22" s="87"/>
      <c r="I22" s="87"/>
      <c r="J22" s="87"/>
      <c r="K22" s="91"/>
      <c r="L22" s="92"/>
      <c r="M22" s="93"/>
      <c r="N22" s="93"/>
      <c r="O22" s="93"/>
      <c r="P22" s="91"/>
      <c r="T22" s="158"/>
    </row>
    <row r="23" spans="1:20" x14ac:dyDescent="0.2">
      <c r="A23" s="82">
        <f>IF(E23&gt;0,IF(E23&gt;0,1+MAX($A$14:A22),0),0)</f>
        <v>10</v>
      </c>
      <c r="B23" s="89"/>
      <c r="C23" s="90" t="s">
        <v>292</v>
      </c>
      <c r="D23" s="102" t="s">
        <v>214</v>
      </c>
      <c r="E23" s="110">
        <f>E21*1.1</f>
        <v>125.60900000000001</v>
      </c>
      <c r="F23" s="86"/>
      <c r="G23" s="87"/>
      <c r="H23" s="87"/>
      <c r="I23" s="87"/>
      <c r="J23" s="87"/>
      <c r="K23" s="91"/>
      <c r="L23" s="92"/>
      <c r="M23" s="93"/>
      <c r="N23" s="93"/>
      <c r="O23" s="93"/>
      <c r="P23" s="91"/>
      <c r="T23" s="158"/>
    </row>
    <row r="24" spans="1:20" x14ac:dyDescent="0.2">
      <c r="A24" s="82">
        <f t="shared" ref="A24:A25" si="0">IF(E24&gt;0,IF(E24&gt;0,1+MAX(A23),0),0)</f>
        <v>11</v>
      </c>
      <c r="B24" s="89"/>
      <c r="C24" s="90" t="s">
        <v>136</v>
      </c>
      <c r="D24" s="102" t="s">
        <v>102</v>
      </c>
      <c r="E24" s="110">
        <f>E21*6</f>
        <v>685.14</v>
      </c>
      <c r="F24" s="86"/>
      <c r="G24" s="87"/>
      <c r="H24" s="87"/>
      <c r="I24" s="87"/>
      <c r="J24" s="87"/>
      <c r="K24" s="91"/>
      <c r="L24" s="92"/>
      <c r="M24" s="93"/>
      <c r="N24" s="93"/>
      <c r="O24" s="93"/>
      <c r="P24" s="91"/>
      <c r="T24" s="158"/>
    </row>
    <row r="25" spans="1:20" x14ac:dyDescent="0.2">
      <c r="A25" s="82">
        <f t="shared" si="0"/>
        <v>12</v>
      </c>
      <c r="B25" s="89"/>
      <c r="C25" s="90" t="s">
        <v>137</v>
      </c>
      <c r="D25" s="102" t="s">
        <v>67</v>
      </c>
      <c r="E25" s="110">
        <f>E21*5</f>
        <v>570.95000000000005</v>
      </c>
      <c r="F25" s="86"/>
      <c r="G25" s="87"/>
      <c r="H25" s="87"/>
      <c r="I25" s="87"/>
      <c r="J25" s="87"/>
      <c r="K25" s="91"/>
      <c r="L25" s="92"/>
      <c r="M25" s="93"/>
      <c r="N25" s="93"/>
      <c r="O25" s="93"/>
      <c r="P25" s="91"/>
      <c r="T25" s="158"/>
    </row>
    <row r="26" spans="1:20" x14ac:dyDescent="0.2">
      <c r="A26" s="82">
        <f>IF(E26&gt;0,IF(E26&gt;0,1+MAX($A$14:A25),0),0)</f>
        <v>13</v>
      </c>
      <c r="B26" s="89"/>
      <c r="C26" s="94" t="s">
        <v>123</v>
      </c>
      <c r="D26" s="102" t="s">
        <v>73</v>
      </c>
      <c r="E26" s="110">
        <f>E21</f>
        <v>114.19</v>
      </c>
      <c r="F26" s="86"/>
      <c r="G26" s="87"/>
      <c r="H26" s="87"/>
      <c r="I26" s="87"/>
      <c r="J26" s="87"/>
      <c r="K26" s="91"/>
      <c r="L26" s="92"/>
      <c r="M26" s="93"/>
      <c r="N26" s="93"/>
      <c r="O26" s="93"/>
      <c r="P26" s="91"/>
      <c r="T26" s="158"/>
    </row>
    <row r="27" spans="1:20" x14ac:dyDescent="0.2">
      <c r="A27" s="82">
        <f>IF(E27&gt;0,IF(E27&gt;0,1+MAX($A$14:A26),0),0)</f>
        <v>14</v>
      </c>
      <c r="B27" s="89"/>
      <c r="C27" s="90" t="s">
        <v>124</v>
      </c>
      <c r="D27" s="102" t="s">
        <v>102</v>
      </c>
      <c r="E27" s="110">
        <f>E26*7</f>
        <v>799.32999999999993</v>
      </c>
      <c r="F27" s="86"/>
      <c r="G27" s="87"/>
      <c r="H27" s="87"/>
      <c r="I27" s="87"/>
      <c r="J27" s="87"/>
      <c r="K27" s="91"/>
      <c r="L27" s="92"/>
      <c r="M27" s="93"/>
      <c r="N27" s="93"/>
      <c r="O27" s="93"/>
      <c r="P27" s="91"/>
      <c r="T27" s="158"/>
    </row>
    <row r="28" spans="1:20" x14ac:dyDescent="0.2">
      <c r="A28" s="82">
        <f>IF(E28&gt;0,IF(E28&gt;0,1+MAX($A$14:A27),0),0)</f>
        <v>15</v>
      </c>
      <c r="B28" s="89"/>
      <c r="C28" s="90" t="s">
        <v>125</v>
      </c>
      <c r="D28" s="102" t="s">
        <v>73</v>
      </c>
      <c r="E28" s="110">
        <f>E26*1.15</f>
        <v>131.3185</v>
      </c>
      <c r="F28" s="86"/>
      <c r="G28" s="87"/>
      <c r="H28" s="87"/>
      <c r="I28" s="87"/>
      <c r="J28" s="87"/>
      <c r="K28" s="91"/>
      <c r="L28" s="92"/>
      <c r="M28" s="93"/>
      <c r="N28" s="93"/>
      <c r="O28" s="93"/>
      <c r="P28" s="91"/>
      <c r="T28" s="158"/>
    </row>
    <row r="29" spans="1:20" x14ac:dyDescent="0.2">
      <c r="A29" s="82">
        <f>IF(E29&gt;0,IF(E29&gt;0,1+MAX($A$14:A28),0),0)</f>
        <v>16</v>
      </c>
      <c r="B29" s="89"/>
      <c r="C29" s="90" t="s">
        <v>120</v>
      </c>
      <c r="D29" s="102" t="s">
        <v>110</v>
      </c>
      <c r="E29" s="110">
        <f>9*1.28*1.5</f>
        <v>17.28</v>
      </c>
      <c r="F29" s="86"/>
      <c r="G29" s="87"/>
      <c r="H29" s="87"/>
      <c r="I29" s="87"/>
      <c r="J29" s="87"/>
      <c r="K29" s="91"/>
      <c r="L29" s="92"/>
      <c r="M29" s="93"/>
      <c r="N29" s="93"/>
      <c r="O29" s="93"/>
      <c r="P29" s="91"/>
      <c r="T29" s="158"/>
    </row>
    <row r="30" spans="1:20" ht="22.5" x14ac:dyDescent="0.2">
      <c r="A30" s="82">
        <f>IF(E30&gt;0,IF(E30&gt;0,1+MAX($A$14:A29),0),0)</f>
        <v>17</v>
      </c>
      <c r="B30" s="89"/>
      <c r="C30" s="94" t="s">
        <v>111</v>
      </c>
      <c r="D30" s="102" t="s">
        <v>73</v>
      </c>
      <c r="E30" s="110">
        <v>87.49</v>
      </c>
      <c r="F30" s="86"/>
      <c r="G30" s="87"/>
      <c r="H30" s="87"/>
      <c r="I30" s="87"/>
      <c r="J30" s="87"/>
      <c r="K30" s="91"/>
      <c r="L30" s="92"/>
      <c r="M30" s="93"/>
      <c r="N30" s="93"/>
      <c r="O30" s="93"/>
      <c r="P30" s="91"/>
      <c r="T30" s="158"/>
    </row>
    <row r="31" spans="1:20" x14ac:dyDescent="0.2">
      <c r="A31" s="82">
        <f>IF(E31&gt;0,IF(E31&gt;0,1+MAX($A$14:A30),0),0)</f>
        <v>18</v>
      </c>
      <c r="B31" s="89"/>
      <c r="C31" s="90" t="s">
        <v>112</v>
      </c>
      <c r="D31" s="102" t="s">
        <v>102</v>
      </c>
      <c r="E31" s="110">
        <f>E30*0.2</f>
        <v>17.498000000000001</v>
      </c>
      <c r="F31" s="86"/>
      <c r="G31" s="87"/>
      <c r="H31" s="87"/>
      <c r="I31" s="87"/>
      <c r="J31" s="87"/>
      <c r="K31" s="91"/>
      <c r="L31" s="92"/>
      <c r="M31" s="93"/>
      <c r="N31" s="93"/>
      <c r="O31" s="93"/>
      <c r="P31" s="91"/>
      <c r="T31" s="158"/>
    </row>
    <row r="32" spans="1:20" x14ac:dyDescent="0.2">
      <c r="A32" s="82">
        <f>IF(E32&gt;0,IF(E32&gt;0,1+MAX($A$14:A31),0),0)</f>
        <v>19</v>
      </c>
      <c r="B32" s="89"/>
      <c r="C32" s="90" t="s">
        <v>113</v>
      </c>
      <c r="D32" s="102" t="s">
        <v>102</v>
      </c>
      <c r="E32" s="110">
        <f>E30*3.3</f>
        <v>288.71699999999998</v>
      </c>
      <c r="F32" s="86"/>
      <c r="G32" s="87"/>
      <c r="H32" s="87"/>
      <c r="I32" s="87"/>
      <c r="J32" s="87"/>
      <c r="K32" s="91"/>
      <c r="L32" s="92"/>
      <c r="M32" s="93"/>
      <c r="N32" s="93"/>
      <c r="O32" s="93"/>
      <c r="P32" s="91"/>
      <c r="T32" s="158"/>
    </row>
    <row r="33" spans="1:20" ht="22.5" x14ac:dyDescent="0.2">
      <c r="A33" s="82">
        <f>IF(E33&gt;0,IF(E33&gt;0,1+MAX($A$14:A32),0),0)</f>
        <v>20</v>
      </c>
      <c r="B33" s="89"/>
      <c r="C33" s="94" t="s">
        <v>280</v>
      </c>
      <c r="D33" s="102" t="s">
        <v>73</v>
      </c>
      <c r="E33" s="110">
        <v>12.36</v>
      </c>
      <c r="F33" s="86"/>
      <c r="G33" s="87"/>
      <c r="H33" s="87"/>
      <c r="I33" s="87"/>
      <c r="J33" s="87"/>
      <c r="K33" s="91"/>
      <c r="L33" s="92"/>
      <c r="M33" s="93"/>
      <c r="N33" s="93"/>
      <c r="O33" s="93"/>
      <c r="P33" s="91"/>
      <c r="T33" s="158"/>
    </row>
    <row r="34" spans="1:20" x14ac:dyDescent="0.2">
      <c r="A34" s="82">
        <f t="shared" ref="A34:A35" si="1">IF(E34&gt;0,IF(E34&gt;0,1+MAX(A33),0),0)</f>
        <v>21</v>
      </c>
      <c r="B34" s="89"/>
      <c r="C34" s="94" t="s">
        <v>123</v>
      </c>
      <c r="D34" s="102" t="s">
        <v>73</v>
      </c>
      <c r="E34" s="110">
        <f>E33</f>
        <v>12.36</v>
      </c>
      <c r="F34" s="86"/>
      <c r="G34" s="87"/>
      <c r="H34" s="87"/>
      <c r="I34" s="87"/>
      <c r="J34" s="87"/>
      <c r="K34" s="91"/>
      <c r="L34" s="92"/>
      <c r="M34" s="93"/>
      <c r="N34" s="93"/>
      <c r="O34" s="93"/>
      <c r="P34" s="91"/>
      <c r="T34" s="158"/>
    </row>
    <row r="35" spans="1:20" x14ac:dyDescent="0.2">
      <c r="A35" s="82">
        <f t="shared" si="1"/>
        <v>22</v>
      </c>
      <c r="B35" s="89"/>
      <c r="C35" s="90" t="s">
        <v>124</v>
      </c>
      <c r="D35" s="102" t="s">
        <v>102</v>
      </c>
      <c r="E35" s="110">
        <f>E34*7</f>
        <v>86.52</v>
      </c>
      <c r="F35" s="86"/>
      <c r="G35" s="87"/>
      <c r="H35" s="87"/>
      <c r="I35" s="87"/>
      <c r="J35" s="87"/>
      <c r="K35" s="91"/>
      <c r="L35" s="92"/>
      <c r="M35" s="93"/>
      <c r="N35" s="93"/>
      <c r="O35" s="93"/>
      <c r="P35" s="91"/>
      <c r="T35" s="158"/>
    </row>
    <row r="36" spans="1:20" x14ac:dyDescent="0.2">
      <c r="A36" s="82">
        <f>IF(E36&gt;0,IF(E36&gt;0,1+MAX($A$14:A35),0),0)</f>
        <v>23</v>
      </c>
      <c r="B36" s="89"/>
      <c r="C36" s="90" t="s">
        <v>125</v>
      </c>
      <c r="D36" s="102" t="s">
        <v>73</v>
      </c>
      <c r="E36" s="110">
        <f>E34*1.15</f>
        <v>14.213999999999999</v>
      </c>
      <c r="F36" s="86"/>
      <c r="G36" s="87"/>
      <c r="H36" s="87"/>
      <c r="I36" s="87"/>
      <c r="J36" s="87"/>
      <c r="K36" s="91"/>
      <c r="L36" s="92"/>
      <c r="M36" s="93"/>
      <c r="N36" s="93"/>
      <c r="O36" s="93"/>
      <c r="P36" s="91"/>
      <c r="T36" s="158"/>
    </row>
    <row r="37" spans="1:20" x14ac:dyDescent="0.2">
      <c r="A37" s="82">
        <f>IF(E37&gt;0,IF(E37&gt;0,1+MAX($A$14:A36),0),0)</f>
        <v>24</v>
      </c>
      <c r="B37" s="89"/>
      <c r="C37" s="90" t="s">
        <v>120</v>
      </c>
      <c r="D37" s="102" t="s">
        <v>110</v>
      </c>
      <c r="E37" s="110">
        <f>15*0.98*1.25</f>
        <v>18.375</v>
      </c>
      <c r="F37" s="86"/>
      <c r="G37" s="87"/>
      <c r="H37" s="87"/>
      <c r="I37" s="87"/>
      <c r="J37" s="87"/>
      <c r="K37" s="91"/>
      <c r="L37" s="92"/>
      <c r="M37" s="93"/>
      <c r="N37" s="93"/>
      <c r="O37" s="93"/>
      <c r="P37" s="91"/>
      <c r="T37" s="158"/>
    </row>
    <row r="38" spans="1:20" ht="22.5" x14ac:dyDescent="0.2">
      <c r="A38" s="82">
        <f>IF(E38&gt;0,IF(E38&gt;0,1+MAX($A$14:A37),0),0)</f>
        <v>25</v>
      </c>
      <c r="B38" s="89"/>
      <c r="C38" s="94" t="s">
        <v>111</v>
      </c>
      <c r="D38" s="102" t="s">
        <v>73</v>
      </c>
      <c r="E38" s="110">
        <f>E34</f>
        <v>12.36</v>
      </c>
      <c r="F38" s="86"/>
      <c r="G38" s="87"/>
      <c r="H38" s="87"/>
      <c r="I38" s="87"/>
      <c r="J38" s="87"/>
      <c r="K38" s="91"/>
      <c r="L38" s="92"/>
      <c r="M38" s="93"/>
      <c r="N38" s="93"/>
      <c r="O38" s="93"/>
      <c r="P38" s="91"/>
      <c r="T38" s="158"/>
    </row>
    <row r="39" spans="1:20" x14ac:dyDescent="0.2">
      <c r="A39" s="82">
        <f>IF(E39&gt;0,IF(E39&gt;0,1+MAX($A$14:A38),0),0)</f>
        <v>26</v>
      </c>
      <c r="B39" s="89"/>
      <c r="C39" s="90" t="s">
        <v>112</v>
      </c>
      <c r="D39" s="102" t="s">
        <v>102</v>
      </c>
      <c r="E39" s="110">
        <f>E38*0.2</f>
        <v>2.472</v>
      </c>
      <c r="F39" s="86"/>
      <c r="G39" s="87"/>
      <c r="H39" s="87"/>
      <c r="I39" s="87"/>
      <c r="J39" s="87"/>
      <c r="K39" s="91"/>
      <c r="L39" s="92"/>
      <c r="M39" s="93"/>
      <c r="N39" s="93"/>
      <c r="O39" s="93"/>
      <c r="P39" s="91"/>
      <c r="T39" s="158"/>
    </row>
    <row r="40" spans="1:20" x14ac:dyDescent="0.2">
      <c r="A40" s="82">
        <f>IF(E40&gt;0,IF(E40&gt;0,1+MAX($A$14:A39),0),0)</f>
        <v>27</v>
      </c>
      <c r="B40" s="89"/>
      <c r="C40" s="90" t="s">
        <v>113</v>
      </c>
      <c r="D40" s="102" t="s">
        <v>102</v>
      </c>
      <c r="E40" s="110">
        <f>E38*3.3</f>
        <v>40.787999999999997</v>
      </c>
      <c r="F40" s="86"/>
      <c r="G40" s="87"/>
      <c r="H40" s="87"/>
      <c r="I40" s="87"/>
      <c r="J40" s="87"/>
      <c r="K40" s="91"/>
      <c r="L40" s="92"/>
      <c r="M40" s="93"/>
      <c r="N40" s="93"/>
      <c r="O40" s="93"/>
      <c r="P40" s="91"/>
      <c r="T40" s="158"/>
    </row>
    <row r="41" spans="1:20" x14ac:dyDescent="0.2">
      <c r="A41" s="82">
        <f>IF(E41&gt;0,IF(E41&gt;0,1+MAX($A$14:A40),0),0)</f>
        <v>28</v>
      </c>
      <c r="B41" s="89"/>
      <c r="C41" s="109" t="s">
        <v>138</v>
      </c>
      <c r="D41" s="108" t="s">
        <v>83</v>
      </c>
      <c r="E41" s="200">
        <f>E15-E57</f>
        <v>34.016399999999997</v>
      </c>
      <c r="F41" s="86"/>
      <c r="G41" s="87"/>
      <c r="H41" s="87"/>
      <c r="I41" s="87"/>
      <c r="J41" s="87"/>
      <c r="K41" s="91"/>
      <c r="L41" s="92"/>
      <c r="M41" s="93"/>
      <c r="N41" s="93"/>
      <c r="O41" s="93"/>
      <c r="P41" s="91"/>
      <c r="T41" s="158"/>
    </row>
    <row r="42" spans="1:20" x14ac:dyDescent="0.2">
      <c r="A42" s="82">
        <f>IF(E42&gt;0,IF(E42&gt;0,1+MAX($A$14:A41),0),0)</f>
        <v>29</v>
      </c>
      <c r="B42" s="89"/>
      <c r="C42" s="206" t="s">
        <v>139</v>
      </c>
      <c r="D42" s="108" t="s">
        <v>83</v>
      </c>
      <c r="E42" s="200">
        <f>E41*1.2</f>
        <v>40.819679999999998</v>
      </c>
      <c r="F42" s="86"/>
      <c r="G42" s="87"/>
      <c r="H42" s="87"/>
      <c r="I42" s="87"/>
      <c r="J42" s="87"/>
      <c r="K42" s="91"/>
      <c r="L42" s="92"/>
      <c r="M42" s="93"/>
      <c r="N42" s="93"/>
      <c r="O42" s="93"/>
      <c r="P42" s="91"/>
      <c r="T42" s="158"/>
    </row>
    <row r="43" spans="1:20" ht="33.75" x14ac:dyDescent="0.2">
      <c r="A43" s="82">
        <f>IF(E43&gt;0,IF(E43&gt;0,1+MAX($A$14:A42),0),0)</f>
        <v>30</v>
      </c>
      <c r="B43" s="89"/>
      <c r="C43" s="94" t="s">
        <v>140</v>
      </c>
      <c r="D43" s="102" t="s">
        <v>67</v>
      </c>
      <c r="E43" s="110">
        <v>3</v>
      </c>
      <c r="F43" s="86"/>
      <c r="G43" s="87"/>
      <c r="H43" s="87"/>
      <c r="I43" s="87"/>
      <c r="J43" s="87"/>
      <c r="K43" s="91"/>
      <c r="L43" s="92"/>
      <c r="M43" s="93"/>
      <c r="N43" s="93"/>
      <c r="O43" s="93"/>
      <c r="P43" s="91"/>
      <c r="T43" s="158"/>
    </row>
    <row r="44" spans="1:20" x14ac:dyDescent="0.2">
      <c r="A44" s="82">
        <f t="shared" ref="A44:A45" si="2">IF(E44&gt;0,IF(E44&gt;0,1+MAX(A43),0),0)</f>
        <v>31</v>
      </c>
      <c r="B44" s="89"/>
      <c r="C44" s="94" t="s">
        <v>141</v>
      </c>
      <c r="D44" s="102" t="s">
        <v>67</v>
      </c>
      <c r="E44" s="110">
        <v>3</v>
      </c>
      <c r="F44" s="86"/>
      <c r="G44" s="87"/>
      <c r="H44" s="87"/>
      <c r="I44" s="87"/>
      <c r="J44" s="87"/>
      <c r="K44" s="91"/>
      <c r="L44" s="92"/>
      <c r="M44" s="93"/>
      <c r="N44" s="93"/>
      <c r="O44" s="93"/>
      <c r="P44" s="91"/>
      <c r="T44" s="158"/>
    </row>
    <row r="45" spans="1:20" ht="22.5" x14ac:dyDescent="0.2">
      <c r="A45" s="82">
        <f t="shared" si="2"/>
        <v>32</v>
      </c>
      <c r="B45" s="89"/>
      <c r="C45" s="94" t="s">
        <v>276</v>
      </c>
      <c r="D45" s="102" t="s">
        <v>73</v>
      </c>
      <c r="E45" s="110">
        <f>13.66*3</f>
        <v>40.980000000000004</v>
      </c>
      <c r="F45" s="86"/>
      <c r="G45" s="87"/>
      <c r="H45" s="87"/>
      <c r="I45" s="87"/>
      <c r="J45" s="87"/>
      <c r="K45" s="91"/>
      <c r="L45" s="92"/>
      <c r="M45" s="93"/>
      <c r="N45" s="93"/>
      <c r="O45" s="93"/>
      <c r="P45" s="91"/>
      <c r="T45" s="158"/>
    </row>
    <row r="46" spans="1:20" x14ac:dyDescent="0.2">
      <c r="A46" s="82">
        <f>IF(E46&gt;0,IF(E46&gt;0,1+MAX($A$14:A45),0),0)</f>
        <v>33</v>
      </c>
      <c r="B46" s="89"/>
      <c r="C46" s="94" t="s">
        <v>123</v>
      </c>
      <c r="D46" s="102" t="s">
        <v>73</v>
      </c>
      <c r="E46" s="110">
        <f>E45</f>
        <v>40.980000000000004</v>
      </c>
      <c r="F46" s="86"/>
      <c r="G46" s="87"/>
      <c r="H46" s="87"/>
      <c r="I46" s="87"/>
      <c r="J46" s="87"/>
      <c r="K46" s="91"/>
      <c r="L46" s="92"/>
      <c r="M46" s="93"/>
      <c r="N46" s="93"/>
      <c r="O46" s="93"/>
      <c r="P46" s="91"/>
      <c r="T46" s="158"/>
    </row>
    <row r="47" spans="1:20" x14ac:dyDescent="0.2">
      <c r="A47" s="82">
        <f>IF(E47&gt;0,IF(E47&gt;0,1+MAX($A$14:A46),0),0)</f>
        <v>34</v>
      </c>
      <c r="B47" s="89"/>
      <c r="C47" s="90" t="s">
        <v>124</v>
      </c>
      <c r="D47" s="102" t="s">
        <v>102</v>
      </c>
      <c r="E47" s="110">
        <f>E46*7</f>
        <v>286.86</v>
      </c>
      <c r="F47" s="86"/>
      <c r="G47" s="87"/>
      <c r="H47" s="87"/>
      <c r="I47" s="87"/>
      <c r="J47" s="87"/>
      <c r="K47" s="91"/>
      <c r="L47" s="92"/>
      <c r="M47" s="93"/>
      <c r="N47" s="93"/>
      <c r="O47" s="93"/>
      <c r="P47" s="91"/>
      <c r="T47" s="158"/>
    </row>
    <row r="48" spans="1:20" x14ac:dyDescent="0.2">
      <c r="A48" s="82">
        <f>IF(E48&gt;0,IF(E48&gt;0,1+MAX($A$14:A47),0),0)</f>
        <v>35</v>
      </c>
      <c r="B48" s="89"/>
      <c r="C48" s="90" t="s">
        <v>125</v>
      </c>
      <c r="D48" s="102" t="s">
        <v>73</v>
      </c>
      <c r="E48" s="110">
        <f>E46*1.15</f>
        <v>47.127000000000002</v>
      </c>
      <c r="F48" s="86"/>
      <c r="G48" s="87"/>
      <c r="H48" s="87"/>
      <c r="I48" s="87"/>
      <c r="J48" s="87"/>
      <c r="K48" s="91"/>
      <c r="L48" s="92"/>
      <c r="M48" s="93"/>
      <c r="N48" s="93"/>
      <c r="O48" s="93"/>
      <c r="P48" s="91"/>
      <c r="T48" s="158"/>
    </row>
    <row r="49" spans="1:20" x14ac:dyDescent="0.2">
      <c r="A49" s="82">
        <f>IF(E49&gt;0,IF(E49&gt;0,1+MAX($A$14:A48),0),0)</f>
        <v>36</v>
      </c>
      <c r="B49" s="89"/>
      <c r="C49" s="90" t="s">
        <v>120</v>
      </c>
      <c r="D49" s="102" t="s">
        <v>110</v>
      </c>
      <c r="E49" s="110">
        <f>0.6*3*3*1.5</f>
        <v>8.1</v>
      </c>
      <c r="F49" s="86"/>
      <c r="G49" s="87"/>
      <c r="H49" s="87"/>
      <c r="I49" s="87"/>
      <c r="J49" s="87"/>
      <c r="K49" s="91"/>
      <c r="L49" s="92"/>
      <c r="M49" s="93"/>
      <c r="N49" s="93"/>
      <c r="O49" s="93"/>
      <c r="P49" s="91"/>
      <c r="T49" s="158"/>
    </row>
    <row r="50" spans="1:20" ht="22.5" x14ac:dyDescent="0.2">
      <c r="A50" s="82">
        <f>IF(E50&gt;0,IF(E50&gt;0,1+MAX($A$14:A49),0),0)</f>
        <v>37</v>
      </c>
      <c r="B50" s="89"/>
      <c r="C50" s="94" t="s">
        <v>111</v>
      </c>
      <c r="D50" s="102" t="s">
        <v>73</v>
      </c>
      <c r="E50" s="110">
        <f>E46</f>
        <v>40.980000000000004</v>
      </c>
      <c r="F50" s="86"/>
      <c r="G50" s="87"/>
      <c r="H50" s="87"/>
      <c r="I50" s="87"/>
      <c r="J50" s="87"/>
      <c r="K50" s="91"/>
      <c r="L50" s="92"/>
      <c r="M50" s="93"/>
      <c r="N50" s="93"/>
      <c r="O50" s="93"/>
      <c r="P50" s="91"/>
      <c r="T50" s="158"/>
    </row>
    <row r="51" spans="1:20" x14ac:dyDescent="0.2">
      <c r="A51" s="82">
        <f>IF(E51&gt;0,IF(E51&gt;0,1+MAX($A$14:A50),0),0)</f>
        <v>38</v>
      </c>
      <c r="B51" s="89"/>
      <c r="C51" s="90" t="s">
        <v>112</v>
      </c>
      <c r="D51" s="102" t="s">
        <v>102</v>
      </c>
      <c r="E51" s="110">
        <f>E50*0.2</f>
        <v>8.1960000000000015</v>
      </c>
      <c r="F51" s="86"/>
      <c r="G51" s="87"/>
      <c r="H51" s="87"/>
      <c r="I51" s="87"/>
      <c r="J51" s="87"/>
      <c r="K51" s="91"/>
      <c r="L51" s="92"/>
      <c r="M51" s="93"/>
      <c r="N51" s="93"/>
      <c r="O51" s="93"/>
      <c r="P51" s="91"/>
      <c r="T51" s="158"/>
    </row>
    <row r="52" spans="1:20" x14ac:dyDescent="0.2">
      <c r="A52" s="82">
        <f>IF(E52&gt;0,IF(E52&gt;0,1+MAX($A$14:A51),0),0)</f>
        <v>39</v>
      </c>
      <c r="B52" s="89"/>
      <c r="C52" s="90" t="s">
        <v>113</v>
      </c>
      <c r="D52" s="102" t="s">
        <v>102</v>
      </c>
      <c r="E52" s="110">
        <f>E50*3.3</f>
        <v>135.23400000000001</v>
      </c>
      <c r="F52" s="86"/>
      <c r="G52" s="87"/>
      <c r="H52" s="87"/>
      <c r="I52" s="87"/>
      <c r="J52" s="87"/>
      <c r="K52" s="91"/>
      <c r="L52" s="92"/>
      <c r="M52" s="93"/>
      <c r="N52" s="93"/>
      <c r="O52" s="93"/>
      <c r="P52" s="91"/>
      <c r="T52" s="158"/>
    </row>
    <row r="53" spans="1:20" x14ac:dyDescent="0.2">
      <c r="A53" s="82">
        <f>IF(E53&gt;0,IF(E53&gt;0,1+MAX($A$14:A52),0),0)</f>
        <v>40</v>
      </c>
      <c r="B53" s="89"/>
      <c r="C53" s="109" t="s">
        <v>142</v>
      </c>
      <c r="D53" s="108" t="s">
        <v>65</v>
      </c>
      <c r="E53" s="200">
        <f>6*3</f>
        <v>18</v>
      </c>
      <c r="F53" s="86"/>
      <c r="G53" s="87"/>
      <c r="H53" s="87"/>
      <c r="I53" s="87"/>
      <c r="J53" s="87"/>
      <c r="K53" s="91"/>
      <c r="L53" s="92"/>
      <c r="M53" s="93"/>
      <c r="N53" s="93"/>
      <c r="O53" s="93"/>
      <c r="P53" s="91"/>
      <c r="T53" s="158"/>
    </row>
    <row r="54" spans="1:20" x14ac:dyDescent="0.2">
      <c r="A54" s="82">
        <f t="shared" ref="A54:A55" si="3">IF(E54&gt;0,IF(E54&gt;0,1+MAX(A53),0),0)</f>
        <v>41</v>
      </c>
      <c r="B54" s="89"/>
      <c r="C54" s="206" t="s">
        <v>86</v>
      </c>
      <c r="D54" s="108" t="s">
        <v>65</v>
      </c>
      <c r="E54" s="200">
        <f>E53*1.1</f>
        <v>19.8</v>
      </c>
      <c r="F54" s="86"/>
      <c r="G54" s="87"/>
      <c r="H54" s="87"/>
      <c r="I54" s="87"/>
      <c r="J54" s="87"/>
      <c r="K54" s="91"/>
      <c r="L54" s="92"/>
      <c r="M54" s="93"/>
      <c r="N54" s="93"/>
      <c r="O54" s="93"/>
      <c r="P54" s="91"/>
      <c r="T54" s="158"/>
    </row>
    <row r="55" spans="1:20" x14ac:dyDescent="0.2">
      <c r="A55" s="82">
        <f t="shared" si="3"/>
        <v>42</v>
      </c>
      <c r="B55" s="89"/>
      <c r="C55" s="121" t="s">
        <v>143</v>
      </c>
      <c r="D55" s="108" t="s">
        <v>67</v>
      </c>
      <c r="E55" s="200">
        <v>3</v>
      </c>
      <c r="F55" s="86"/>
      <c r="G55" s="87"/>
      <c r="H55" s="87"/>
      <c r="I55" s="87"/>
      <c r="J55" s="87"/>
      <c r="K55" s="91"/>
      <c r="L55" s="92"/>
      <c r="M55" s="93"/>
      <c r="N55" s="93"/>
      <c r="O55" s="93"/>
      <c r="P55" s="91"/>
      <c r="T55" s="158"/>
    </row>
    <row r="56" spans="1:20" x14ac:dyDescent="0.2">
      <c r="A56" s="82">
        <f>IF(E56&gt;0,IF(E56&gt;0,1+MAX($A$14:A55),0),0)</f>
        <v>43</v>
      </c>
      <c r="B56" s="89"/>
      <c r="C56" s="206" t="s">
        <v>144</v>
      </c>
      <c r="D56" s="108" t="s">
        <v>67</v>
      </c>
      <c r="E56" s="200">
        <v>3</v>
      </c>
      <c r="F56" s="86"/>
      <c r="G56" s="87"/>
      <c r="H56" s="87"/>
      <c r="I56" s="87"/>
      <c r="J56" s="87"/>
      <c r="K56" s="91"/>
      <c r="L56" s="92"/>
      <c r="M56" s="93"/>
      <c r="N56" s="93"/>
      <c r="O56" s="93"/>
      <c r="P56" s="91"/>
      <c r="T56" s="158"/>
    </row>
    <row r="57" spans="1:20" x14ac:dyDescent="0.2">
      <c r="A57" s="82">
        <f>IF(E57&gt;0,IF(E57&gt;0,1+MAX($A$14:A56),0),0)</f>
        <v>44</v>
      </c>
      <c r="B57" s="89"/>
      <c r="C57" s="121" t="s">
        <v>145</v>
      </c>
      <c r="D57" s="108" t="s">
        <v>83</v>
      </c>
      <c r="E57" s="200">
        <f>E14*0.7*0.1</f>
        <v>7.2155999999999993</v>
      </c>
      <c r="F57" s="86"/>
      <c r="G57" s="87"/>
      <c r="H57" s="87"/>
      <c r="I57" s="87"/>
      <c r="J57" s="87"/>
      <c r="K57" s="91"/>
      <c r="L57" s="92"/>
      <c r="M57" s="93"/>
      <c r="N57" s="93"/>
      <c r="O57" s="93"/>
      <c r="P57" s="91"/>
      <c r="T57" s="158"/>
    </row>
    <row r="58" spans="1:20" x14ac:dyDescent="0.2">
      <c r="A58" s="82">
        <f>IF(E58&gt;0,IF(E58&gt;0,1+MAX($A$14:A57),0),0)</f>
        <v>45</v>
      </c>
      <c r="B58" s="89"/>
      <c r="C58" s="206" t="s">
        <v>146</v>
      </c>
      <c r="D58" s="108" t="s">
        <v>83</v>
      </c>
      <c r="E58" s="200">
        <f>E57*1.2</f>
        <v>8.6587199999999989</v>
      </c>
      <c r="F58" s="86"/>
      <c r="G58" s="87"/>
      <c r="H58" s="87"/>
      <c r="I58" s="87"/>
      <c r="J58" s="87"/>
      <c r="K58" s="91"/>
      <c r="L58" s="92"/>
      <c r="M58" s="93"/>
      <c r="N58" s="93"/>
      <c r="O58" s="93"/>
      <c r="P58" s="91"/>
      <c r="T58" s="158"/>
    </row>
    <row r="59" spans="1:20" x14ac:dyDescent="0.2">
      <c r="A59" s="82">
        <f>IF(E59&gt;0,IF(E59&gt;0,1+MAX($A$14:A58),0),0)</f>
        <v>46</v>
      </c>
      <c r="B59" s="89"/>
      <c r="C59" s="94" t="s">
        <v>147</v>
      </c>
      <c r="D59" s="102" t="s">
        <v>73</v>
      </c>
      <c r="E59" s="110">
        <f>E14*0.6</f>
        <v>61.847999999999999</v>
      </c>
      <c r="F59" s="86"/>
      <c r="G59" s="87"/>
      <c r="H59" s="87"/>
      <c r="I59" s="87"/>
      <c r="J59" s="87"/>
      <c r="K59" s="91"/>
      <c r="L59" s="92"/>
      <c r="M59" s="93"/>
      <c r="N59" s="93"/>
      <c r="O59" s="93"/>
      <c r="P59" s="91"/>
      <c r="T59" s="158"/>
    </row>
    <row r="60" spans="1:20" x14ac:dyDescent="0.2">
      <c r="A60" s="82">
        <f>IF(E60&gt;0,IF(E60&gt;0,1+MAX($A$14:A59),0),0)</f>
        <v>47</v>
      </c>
      <c r="B60" s="89"/>
      <c r="C60" s="206" t="s">
        <v>148</v>
      </c>
      <c r="D60" s="108" t="s">
        <v>73</v>
      </c>
      <c r="E60" s="200">
        <f>E59*1.25</f>
        <v>77.31</v>
      </c>
      <c r="F60" s="86"/>
      <c r="G60" s="87"/>
      <c r="H60" s="87"/>
      <c r="I60" s="87"/>
      <c r="J60" s="87"/>
      <c r="K60" s="91"/>
      <c r="L60" s="92"/>
      <c r="M60" s="93"/>
      <c r="N60" s="93"/>
      <c r="O60" s="93"/>
      <c r="P60" s="91"/>
      <c r="T60" s="158"/>
    </row>
    <row r="61" spans="1:20" x14ac:dyDescent="0.2">
      <c r="A61" s="82">
        <f>IF(E61&gt;0,IF(E61&gt;0,1+MAX($A$14:A60),0),0)</f>
        <v>48</v>
      </c>
      <c r="B61" s="89"/>
      <c r="C61" s="206" t="s">
        <v>149</v>
      </c>
      <c r="D61" s="108" t="s">
        <v>83</v>
      </c>
      <c r="E61" s="200">
        <f>E59*0.08*1.25</f>
        <v>6.1848000000000001</v>
      </c>
      <c r="F61" s="86"/>
      <c r="G61" s="87"/>
      <c r="H61" s="87"/>
      <c r="I61" s="87"/>
      <c r="J61" s="87"/>
      <c r="K61" s="91"/>
      <c r="L61" s="92"/>
      <c r="M61" s="93"/>
      <c r="N61" s="93"/>
      <c r="O61" s="93"/>
      <c r="P61" s="91"/>
      <c r="T61" s="158"/>
    </row>
    <row r="62" spans="1:20" ht="12" thickBot="1" x14ac:dyDescent="0.25">
      <c r="A62" s="82">
        <f>IF(E62&gt;0,IF(E62&gt;0,1+MAX($A$14:A61),0),0)</f>
        <v>49</v>
      </c>
      <c r="B62" s="89"/>
      <c r="C62" s="206" t="s">
        <v>150</v>
      </c>
      <c r="D62" s="108" t="s">
        <v>265</v>
      </c>
      <c r="E62" s="200">
        <v>1</v>
      </c>
      <c r="F62" s="86"/>
      <c r="G62" s="87"/>
      <c r="H62" s="87"/>
      <c r="I62" s="87"/>
      <c r="J62" s="87"/>
      <c r="K62" s="91"/>
      <c r="L62" s="92"/>
      <c r="M62" s="93"/>
      <c r="N62" s="93"/>
      <c r="O62" s="93"/>
      <c r="P62" s="91"/>
      <c r="T62" s="158"/>
    </row>
    <row r="63" spans="1:20" ht="12" customHeight="1" thickBot="1" x14ac:dyDescent="0.25">
      <c r="A63" s="286" t="s">
        <v>278</v>
      </c>
      <c r="B63" s="287"/>
      <c r="C63" s="287"/>
      <c r="D63" s="287"/>
      <c r="E63" s="287"/>
      <c r="F63" s="287"/>
      <c r="G63" s="287"/>
      <c r="H63" s="287"/>
      <c r="I63" s="287"/>
      <c r="J63" s="287"/>
      <c r="K63" s="288"/>
      <c r="L63" s="95">
        <f>SUM(L14:L62)</f>
        <v>0</v>
      </c>
      <c r="M63" s="96">
        <f>SUM(M14:M62)</f>
        <v>0</v>
      </c>
      <c r="N63" s="96">
        <f>SUM(N14:N62)</f>
        <v>0</v>
      </c>
      <c r="O63" s="96">
        <f>SUM(O14:O62)</f>
        <v>0</v>
      </c>
      <c r="P63" s="97">
        <f>SUM(P14:P62)</f>
        <v>0</v>
      </c>
    </row>
    <row r="64" spans="1:20" x14ac:dyDescent="0.2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</row>
    <row r="65" spans="1:16" x14ac:dyDescent="0.2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</row>
    <row r="66" spans="1:16" x14ac:dyDescent="0.2">
      <c r="A66" s="39" t="s">
        <v>14</v>
      </c>
      <c r="B66" s="64"/>
      <c r="C66" s="285" t="str">
        <f>'Kops a'!C33:H33</f>
        <v>Armands Ūbelis</v>
      </c>
      <c r="D66" s="285"/>
      <c r="E66" s="285"/>
      <c r="F66" s="285"/>
      <c r="G66" s="285"/>
      <c r="H66" s="285"/>
      <c r="I66" s="64"/>
      <c r="J66" s="64"/>
      <c r="K66" s="64"/>
      <c r="L66" s="64"/>
      <c r="M66" s="64"/>
      <c r="N66" s="64"/>
      <c r="O66" s="64"/>
      <c r="P66" s="64"/>
    </row>
    <row r="67" spans="1:16" x14ac:dyDescent="0.2">
      <c r="A67" s="64"/>
      <c r="B67" s="64"/>
      <c r="C67" s="222" t="s">
        <v>15</v>
      </c>
      <c r="D67" s="222"/>
      <c r="E67" s="222"/>
      <c r="F67" s="222"/>
      <c r="G67" s="222"/>
      <c r="H67" s="222"/>
      <c r="I67" s="64"/>
      <c r="J67" s="64"/>
      <c r="K67" s="64"/>
      <c r="L67" s="64"/>
      <c r="M67" s="64"/>
      <c r="N67" s="64"/>
      <c r="O67" s="64"/>
      <c r="P67" s="64"/>
    </row>
    <row r="68" spans="1:16" x14ac:dyDescent="0.2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</row>
    <row r="69" spans="1:16" x14ac:dyDescent="0.2">
      <c r="A69" s="98" t="str">
        <f>'Kops a'!A36</f>
        <v>Tāme sastādīta 2021. gada 13. maijā</v>
      </c>
      <c r="B69" s="99"/>
      <c r="C69" s="99"/>
      <c r="D69" s="99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</row>
    <row r="70" spans="1:16" x14ac:dyDescent="0.2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</row>
    <row r="71" spans="1:16" x14ac:dyDescent="0.2">
      <c r="A71" s="39" t="s">
        <v>37</v>
      </c>
      <c r="B71" s="64"/>
      <c r="C71" s="285" t="str">
        <f>'Kops a'!C38:H38</f>
        <v xml:space="preserve"> </v>
      </c>
      <c r="D71" s="285"/>
      <c r="E71" s="285"/>
      <c r="F71" s="285"/>
      <c r="G71" s="285"/>
      <c r="H71" s="285"/>
      <c r="I71" s="64"/>
      <c r="J71" s="64"/>
      <c r="K71" s="64"/>
      <c r="L71" s="64"/>
      <c r="M71" s="64"/>
      <c r="N71" s="64"/>
      <c r="O71" s="64"/>
      <c r="P71" s="64"/>
    </row>
    <row r="72" spans="1:16" x14ac:dyDescent="0.2">
      <c r="A72" s="64"/>
      <c r="B72" s="64"/>
      <c r="C72" s="222" t="s">
        <v>15</v>
      </c>
      <c r="D72" s="222"/>
      <c r="E72" s="222"/>
      <c r="F72" s="222"/>
      <c r="G72" s="222"/>
      <c r="H72" s="222"/>
      <c r="I72" s="64"/>
      <c r="J72" s="64"/>
      <c r="K72" s="64"/>
      <c r="L72" s="64"/>
      <c r="M72" s="64"/>
      <c r="N72" s="64"/>
      <c r="O72" s="64"/>
      <c r="P72" s="64"/>
    </row>
    <row r="73" spans="1:16" x14ac:dyDescent="0.2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</row>
    <row r="74" spans="1:16" x14ac:dyDescent="0.2">
      <c r="A74" s="98" t="s">
        <v>54</v>
      </c>
      <c r="B74" s="99"/>
      <c r="C74" s="100" t="str">
        <f>'Kops a'!C41</f>
        <v>4-02608</v>
      </c>
      <c r="D74" s="101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</row>
    <row r="75" spans="1:16" x14ac:dyDescent="0.2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</row>
  </sheetData>
  <mergeCells count="22">
    <mergeCell ref="C72:H72"/>
    <mergeCell ref="C4:I4"/>
    <mergeCell ref="F12:K12"/>
    <mergeCell ref="A9:F9"/>
    <mergeCell ref="J9:M9"/>
    <mergeCell ref="D8:L8"/>
    <mergeCell ref="A63:K63"/>
    <mergeCell ref="C66:H66"/>
    <mergeCell ref="C67:H67"/>
    <mergeCell ref="C71:H71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B15:B32 B41:B62">
    <cfRule type="cellIs" dxfId="167" priority="39" operator="equal">
      <formula>0</formula>
    </cfRule>
  </conditionalFormatting>
  <conditionalFormatting sqref="N9:O9">
    <cfRule type="cellIs" dxfId="166" priority="38" operator="equal">
      <formula>0</formula>
    </cfRule>
  </conditionalFormatting>
  <conditionalFormatting sqref="C2:I2">
    <cfRule type="cellIs" dxfId="165" priority="35" operator="equal">
      <formula>0</formula>
    </cfRule>
  </conditionalFormatting>
  <conditionalFormatting sqref="O10">
    <cfRule type="cellIs" dxfId="164" priority="34" operator="equal">
      <formula>"20__. gada __. _________"</formula>
    </cfRule>
  </conditionalFormatting>
  <conditionalFormatting sqref="K14:P32 L63:P63 K41:P62">
    <cfRule type="cellIs" dxfId="163" priority="28" operator="equal">
      <formula>0</formula>
    </cfRule>
  </conditionalFormatting>
  <conditionalFormatting sqref="C4:I4">
    <cfRule type="cellIs" dxfId="162" priority="27" operator="equal">
      <formula>0</formula>
    </cfRule>
  </conditionalFormatting>
  <conditionalFormatting sqref="D5:L8">
    <cfRule type="cellIs" dxfId="161" priority="24" operator="equal">
      <formula>0</formula>
    </cfRule>
  </conditionalFormatting>
  <conditionalFormatting sqref="B14">
    <cfRule type="cellIs" dxfId="160" priority="23" operator="equal">
      <formula>0</formula>
    </cfRule>
  </conditionalFormatting>
  <conditionalFormatting sqref="P10">
    <cfRule type="cellIs" dxfId="159" priority="20" operator="equal">
      <formula>"20__. gada __. _________"</formula>
    </cfRule>
  </conditionalFormatting>
  <conditionalFormatting sqref="C71:H71">
    <cfRule type="cellIs" dxfId="158" priority="17" operator="equal">
      <formula>0</formula>
    </cfRule>
  </conditionalFormatting>
  <conditionalFormatting sqref="C66:H66">
    <cfRule type="cellIs" dxfId="157" priority="16" operator="equal">
      <formula>0</formula>
    </cfRule>
  </conditionalFormatting>
  <conditionalFormatting sqref="C71:H71 C74 C66:H66">
    <cfRule type="cellIs" dxfId="156" priority="15" operator="equal">
      <formula>0</formula>
    </cfRule>
  </conditionalFormatting>
  <conditionalFormatting sqref="D1">
    <cfRule type="cellIs" dxfId="155" priority="14" operator="equal">
      <formula>0</formula>
    </cfRule>
  </conditionalFormatting>
  <conditionalFormatting sqref="A9:F9">
    <cfRule type="containsText" dxfId="154" priority="1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63:K63">
    <cfRule type="containsText" dxfId="153" priority="12" operator="containsText" text="Tiešās izmaksas kopā, t. sk. darba devēja sociālais nodoklis __.__% ">
      <formula>NOT(ISERROR(SEARCH("Tiešās izmaksas kopā, t. sk. darba devēja sociālais nodoklis __.__% ",A63)))</formula>
    </cfRule>
  </conditionalFormatting>
  <conditionalFormatting sqref="A14:A62">
    <cfRule type="cellIs" dxfId="152" priority="11" operator="equal">
      <formula>0</formula>
    </cfRule>
  </conditionalFormatting>
  <conditionalFormatting sqref="F14:G14 I14:J14">
    <cfRule type="cellIs" dxfId="151" priority="9" operator="equal">
      <formula>0</formula>
    </cfRule>
  </conditionalFormatting>
  <conditionalFormatting sqref="H14">
    <cfRule type="cellIs" dxfId="150" priority="8" operator="equal">
      <formula>0</formula>
    </cfRule>
  </conditionalFormatting>
  <conditionalFormatting sqref="F15:G32 I15:J32 I41:J62 F41:G62">
    <cfRule type="cellIs" dxfId="149" priority="7" operator="equal">
      <formula>0</formula>
    </cfRule>
  </conditionalFormatting>
  <conditionalFormatting sqref="H15:H32 H41:H62">
    <cfRule type="cellIs" dxfId="148" priority="6" operator="equal">
      <formula>0</formula>
    </cfRule>
  </conditionalFormatting>
  <conditionalFormatting sqref="B33:B40">
    <cfRule type="cellIs" dxfId="147" priority="5" operator="equal">
      <formula>0</formula>
    </cfRule>
  </conditionalFormatting>
  <conditionalFormatting sqref="K33:P40">
    <cfRule type="cellIs" dxfId="146" priority="4" operator="equal">
      <formula>0</formula>
    </cfRule>
  </conditionalFormatting>
  <conditionalFormatting sqref="I33:J40 F33:G40">
    <cfRule type="cellIs" dxfId="145" priority="2" operator="equal">
      <formula>0</formula>
    </cfRule>
  </conditionalFormatting>
  <conditionalFormatting sqref="H33:H40">
    <cfRule type="cellIs" dxfId="144" priority="1" operator="equal">
      <formula>0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9" operator="containsText" id="{D422C369-7259-49E7-A89B-9D562DEE2E41}">
            <xm:f>NOT(ISERROR(SEARCH("Tāme sastādīta ____. gada ___. ______________",A69)))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A69</xm:sqref>
        </x14:conditionalFormatting>
        <x14:conditionalFormatting xmlns:xm="http://schemas.microsoft.com/office/excel/2006/main">
          <x14:cfRule type="containsText" priority="18" operator="containsText" id="{D859E3E6-089F-4F16-889A-98EF63E5F3AC}">
            <xm:f>NOT(ISERROR(SEARCH("Sertifikāta Nr. _________________________________",A74)))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T32"/>
  <sheetViews>
    <sheetView zoomScaleNormal="100" workbookViewId="0">
      <selection activeCell="F13" sqref="F13:P22"/>
    </sheetView>
  </sheetViews>
  <sheetFormatPr defaultColWidth="9.140625" defaultRowHeight="11.25" x14ac:dyDescent="0.2"/>
  <cols>
    <col min="1" max="1" width="4.5703125" style="39" customWidth="1"/>
    <col min="2" max="2" width="5.28515625" style="39" customWidth="1"/>
    <col min="3" max="3" width="38.42578125" style="39" customWidth="1"/>
    <col min="4" max="4" width="5.85546875" style="39" customWidth="1"/>
    <col min="5" max="5" width="8.7109375" style="39" customWidth="1"/>
    <col min="6" max="6" width="5.42578125" style="39" customWidth="1"/>
    <col min="7" max="7" width="4.85546875" style="39" customWidth="1"/>
    <col min="8" max="10" width="6.7109375" style="39" customWidth="1"/>
    <col min="11" max="11" width="7" style="39" customWidth="1"/>
    <col min="12" max="15" width="7.7109375" style="39" customWidth="1"/>
    <col min="16" max="16" width="9" style="39" customWidth="1"/>
    <col min="17" max="16384" width="9.140625" style="39"/>
  </cols>
  <sheetData>
    <row r="1" spans="1:20" x14ac:dyDescent="0.2">
      <c r="A1" s="65"/>
      <c r="B1" s="65"/>
      <c r="C1" s="66" t="s">
        <v>38</v>
      </c>
      <c r="D1" s="67">
        <f>'Kops a'!A18</f>
        <v>0</v>
      </c>
      <c r="E1" s="65"/>
      <c r="F1" s="65"/>
      <c r="G1" s="65"/>
      <c r="H1" s="65"/>
      <c r="I1" s="65"/>
      <c r="J1" s="65"/>
      <c r="N1" s="68"/>
      <c r="O1" s="66"/>
      <c r="P1" s="69"/>
    </row>
    <row r="2" spans="1:20" x14ac:dyDescent="0.2">
      <c r="A2" s="70"/>
      <c r="B2" s="70"/>
      <c r="C2" s="268" t="s">
        <v>59</v>
      </c>
      <c r="D2" s="268"/>
      <c r="E2" s="268"/>
      <c r="F2" s="268"/>
      <c r="G2" s="268"/>
      <c r="H2" s="268"/>
      <c r="I2" s="268"/>
      <c r="J2" s="70"/>
    </row>
    <row r="3" spans="1:20" x14ac:dyDescent="0.2">
      <c r="A3" s="71"/>
      <c r="B3" s="71"/>
      <c r="C3" s="231" t="s">
        <v>17</v>
      </c>
      <c r="D3" s="231"/>
      <c r="E3" s="231"/>
      <c r="F3" s="231"/>
      <c r="G3" s="231"/>
      <c r="H3" s="231"/>
      <c r="I3" s="231"/>
      <c r="J3" s="71"/>
    </row>
    <row r="4" spans="1:20" x14ac:dyDescent="0.2">
      <c r="A4" s="71"/>
      <c r="B4" s="71"/>
      <c r="C4" s="269" t="s">
        <v>52</v>
      </c>
      <c r="D4" s="269"/>
      <c r="E4" s="269"/>
      <c r="F4" s="269"/>
      <c r="G4" s="269"/>
      <c r="H4" s="269"/>
      <c r="I4" s="269"/>
      <c r="J4" s="71"/>
    </row>
    <row r="5" spans="1:20" x14ac:dyDescent="0.2">
      <c r="A5" s="65"/>
      <c r="B5" s="65"/>
      <c r="C5" s="66" t="s">
        <v>5</v>
      </c>
      <c r="D5" s="282" t="str">
        <f>'Kops a'!D6</f>
        <v>Daudzdzīvokļu dzīvojamās ēkas vienkāršota fasādes atjaunošana.</v>
      </c>
      <c r="E5" s="282"/>
      <c r="F5" s="282"/>
      <c r="G5" s="282"/>
      <c r="H5" s="282"/>
      <c r="I5" s="282"/>
      <c r="J5" s="282"/>
      <c r="K5" s="282"/>
      <c r="L5" s="282"/>
      <c r="M5" s="64"/>
      <c r="N5" s="64"/>
      <c r="O5" s="64"/>
      <c r="P5" s="64"/>
    </row>
    <row r="6" spans="1:20" x14ac:dyDescent="0.2">
      <c r="A6" s="65"/>
      <c r="B6" s="65"/>
      <c r="C6" s="66" t="s">
        <v>6</v>
      </c>
      <c r="D6" s="282" t="str">
        <f>'Kops a'!D7</f>
        <v>Daudzdzīvokļu dzīvojamās ēkas vienkāršota fasādes atjaunošana.</v>
      </c>
      <c r="E6" s="282"/>
      <c r="F6" s="282"/>
      <c r="G6" s="282"/>
      <c r="H6" s="282"/>
      <c r="I6" s="282"/>
      <c r="J6" s="282"/>
      <c r="K6" s="282"/>
      <c r="L6" s="282"/>
      <c r="M6" s="64"/>
      <c r="N6" s="64"/>
      <c r="O6" s="64"/>
      <c r="P6" s="64"/>
    </row>
    <row r="7" spans="1:20" x14ac:dyDescent="0.2">
      <c r="A7" s="65"/>
      <c r="B7" s="65"/>
      <c r="C7" s="66" t="s">
        <v>7</v>
      </c>
      <c r="D7" s="282" t="str">
        <f>'Kops a'!D8</f>
        <v>Smilšu iela 42, k-1, Tukums</v>
      </c>
      <c r="E7" s="282"/>
      <c r="F7" s="282"/>
      <c r="G7" s="282"/>
      <c r="H7" s="282"/>
      <c r="I7" s="282"/>
      <c r="J7" s="282"/>
      <c r="K7" s="282"/>
      <c r="L7" s="282"/>
      <c r="M7" s="64"/>
      <c r="N7" s="64"/>
      <c r="O7" s="64"/>
      <c r="P7" s="64"/>
    </row>
    <row r="8" spans="1:20" x14ac:dyDescent="0.2">
      <c r="A8" s="65"/>
      <c r="B8" s="65"/>
      <c r="C8" s="205" t="s">
        <v>20</v>
      </c>
      <c r="D8" s="282" t="str">
        <f>'Kops a'!D9</f>
        <v xml:space="preserve"> </v>
      </c>
      <c r="E8" s="282"/>
      <c r="F8" s="282"/>
      <c r="G8" s="282"/>
      <c r="H8" s="282"/>
      <c r="I8" s="282"/>
      <c r="J8" s="282"/>
      <c r="K8" s="282"/>
      <c r="L8" s="282"/>
      <c r="M8" s="64"/>
      <c r="N8" s="64"/>
      <c r="O8" s="64"/>
      <c r="P8" s="64"/>
    </row>
    <row r="9" spans="1:20" ht="11.25" customHeight="1" x14ac:dyDescent="0.2">
      <c r="A9" s="270" t="s">
        <v>293</v>
      </c>
      <c r="B9" s="270"/>
      <c r="C9" s="270"/>
      <c r="D9" s="270"/>
      <c r="E9" s="270"/>
      <c r="F9" s="270"/>
      <c r="G9" s="72"/>
      <c r="H9" s="72"/>
      <c r="I9" s="72"/>
      <c r="J9" s="274" t="s">
        <v>39</v>
      </c>
      <c r="K9" s="274"/>
      <c r="L9" s="274"/>
      <c r="M9" s="274"/>
      <c r="N9" s="281">
        <f>P23</f>
        <v>0</v>
      </c>
      <c r="O9" s="281"/>
      <c r="P9" s="72"/>
    </row>
    <row r="10" spans="1:20" ht="12" thickBot="1" x14ac:dyDescent="0.25">
      <c r="A10" s="73"/>
      <c r="B10" s="74"/>
      <c r="C10" s="205"/>
      <c r="D10" s="65"/>
      <c r="E10" s="65"/>
      <c r="F10" s="65"/>
      <c r="G10" s="65"/>
      <c r="H10" s="65"/>
      <c r="I10" s="65"/>
      <c r="J10" s="65"/>
      <c r="K10" s="65"/>
      <c r="L10" s="70"/>
      <c r="M10" s="70"/>
      <c r="O10" s="75"/>
      <c r="P10" s="76" t="str">
        <f>A27</f>
        <v>Tāme sastādīta 2021. gada 13. maijā</v>
      </c>
    </row>
    <row r="11" spans="1:20" x14ac:dyDescent="0.2">
      <c r="A11" s="244" t="s">
        <v>23</v>
      </c>
      <c r="B11" s="276" t="s">
        <v>40</v>
      </c>
      <c r="C11" s="272" t="s">
        <v>41</v>
      </c>
      <c r="D11" s="279" t="s">
        <v>42</v>
      </c>
      <c r="E11" s="283" t="s">
        <v>43</v>
      </c>
      <c r="F11" s="271" t="s">
        <v>44</v>
      </c>
      <c r="G11" s="272"/>
      <c r="H11" s="272"/>
      <c r="I11" s="272"/>
      <c r="J11" s="272"/>
      <c r="K11" s="273"/>
      <c r="L11" s="271" t="s">
        <v>45</v>
      </c>
      <c r="M11" s="272"/>
      <c r="N11" s="272"/>
      <c r="O11" s="272"/>
      <c r="P11" s="273"/>
    </row>
    <row r="12" spans="1:20" ht="92.25" customHeight="1" thickBot="1" x14ac:dyDescent="0.25">
      <c r="A12" s="275"/>
      <c r="B12" s="277"/>
      <c r="C12" s="278"/>
      <c r="D12" s="280"/>
      <c r="E12" s="284"/>
      <c r="F12" s="208" t="s">
        <v>46</v>
      </c>
      <c r="G12" s="209" t="s">
        <v>47</v>
      </c>
      <c r="H12" s="209" t="s">
        <v>48</v>
      </c>
      <c r="I12" s="209" t="s">
        <v>49</v>
      </c>
      <c r="J12" s="209" t="s">
        <v>50</v>
      </c>
      <c r="K12" s="81" t="s">
        <v>51</v>
      </c>
      <c r="L12" s="208" t="s">
        <v>46</v>
      </c>
      <c r="M12" s="209" t="s">
        <v>48</v>
      </c>
      <c r="N12" s="209" t="s">
        <v>49</v>
      </c>
      <c r="O12" s="209" t="s">
        <v>50</v>
      </c>
      <c r="P12" s="81" t="s">
        <v>51</v>
      </c>
    </row>
    <row r="13" spans="1:20" x14ac:dyDescent="0.2">
      <c r="A13" s="82">
        <f>IF(E13&gt;0,IF(E13&gt;0,1+MAX(A12),0),0)</f>
        <v>1</v>
      </c>
      <c r="B13" s="83"/>
      <c r="C13" s="84" t="s">
        <v>151</v>
      </c>
      <c r="D13" s="114" t="s">
        <v>73</v>
      </c>
      <c r="E13" s="115">
        <v>518.5</v>
      </c>
      <c r="F13" s="86"/>
      <c r="G13" s="87"/>
      <c r="H13" s="87"/>
      <c r="I13" s="87"/>
      <c r="J13" s="87"/>
      <c r="K13" s="88"/>
      <c r="L13" s="86"/>
      <c r="M13" s="87"/>
      <c r="N13" s="87"/>
      <c r="O13" s="87"/>
      <c r="P13" s="88"/>
      <c r="T13" s="158"/>
    </row>
    <row r="14" spans="1:20" x14ac:dyDescent="0.2">
      <c r="A14" s="82">
        <f>IF(E14&gt;0,IF(E14&gt;0,1+MAX(A13),0),0)</f>
        <v>2</v>
      </c>
      <c r="B14" s="89"/>
      <c r="C14" s="84" t="s">
        <v>152</v>
      </c>
      <c r="D14" s="114" t="s">
        <v>73</v>
      </c>
      <c r="E14" s="115">
        <v>101.6</v>
      </c>
      <c r="F14" s="86"/>
      <c r="G14" s="87"/>
      <c r="H14" s="87"/>
      <c r="I14" s="87"/>
      <c r="J14" s="87"/>
      <c r="K14" s="91"/>
      <c r="L14" s="92"/>
      <c r="M14" s="93"/>
      <c r="N14" s="93"/>
      <c r="O14" s="93"/>
      <c r="P14" s="91"/>
      <c r="T14" s="158"/>
    </row>
    <row r="15" spans="1:20" x14ac:dyDescent="0.2">
      <c r="A15" s="82">
        <f>IF(E15&gt;0,IF(E15&gt;0,1+MAX($A$13:A14),0),0)</f>
        <v>3</v>
      </c>
      <c r="B15" s="89"/>
      <c r="C15" s="90" t="s">
        <v>153</v>
      </c>
      <c r="D15" s="114" t="s">
        <v>83</v>
      </c>
      <c r="E15" s="115">
        <v>4.67</v>
      </c>
      <c r="F15" s="86"/>
      <c r="G15" s="87"/>
      <c r="H15" s="87"/>
      <c r="I15" s="87"/>
      <c r="J15" s="87"/>
      <c r="K15" s="91"/>
      <c r="L15" s="92"/>
      <c r="M15" s="93"/>
      <c r="N15" s="93"/>
      <c r="O15" s="93"/>
      <c r="P15" s="91"/>
      <c r="T15" s="158"/>
    </row>
    <row r="16" spans="1:20" x14ac:dyDescent="0.2">
      <c r="A16" s="82">
        <f>IF(E16&gt;0,IF(E16&gt;0,1+MAX($A$13:A15),0),0)</f>
        <v>4</v>
      </c>
      <c r="B16" s="89"/>
      <c r="C16" s="90" t="s">
        <v>154</v>
      </c>
      <c r="D16" s="114" t="s">
        <v>83</v>
      </c>
      <c r="E16" s="115">
        <v>2.2599999999999998</v>
      </c>
      <c r="F16" s="86"/>
      <c r="G16" s="87"/>
      <c r="H16" s="87"/>
      <c r="I16" s="87"/>
      <c r="J16" s="87"/>
      <c r="K16" s="91"/>
      <c r="L16" s="92"/>
      <c r="M16" s="93"/>
      <c r="N16" s="93"/>
      <c r="O16" s="93"/>
      <c r="P16" s="91"/>
      <c r="T16" s="158"/>
    </row>
    <row r="17" spans="1:20" x14ac:dyDescent="0.2">
      <c r="A17" s="82">
        <f>IF(E17&gt;0,IF(E17&gt;0,1+MAX($A$13:A16),0),0)</f>
        <v>5</v>
      </c>
      <c r="B17" s="89"/>
      <c r="C17" s="90" t="s">
        <v>84</v>
      </c>
      <c r="D17" s="114" t="s">
        <v>75</v>
      </c>
      <c r="E17" s="115">
        <f>E14</f>
        <v>101.6</v>
      </c>
      <c r="F17" s="86"/>
      <c r="G17" s="87"/>
      <c r="H17" s="87"/>
      <c r="I17" s="87"/>
      <c r="J17" s="87"/>
      <c r="K17" s="91"/>
      <c r="L17" s="92"/>
      <c r="M17" s="93"/>
      <c r="N17" s="93"/>
      <c r="O17" s="93"/>
      <c r="P17" s="91"/>
      <c r="T17" s="158"/>
    </row>
    <row r="18" spans="1:20" ht="22.5" x14ac:dyDescent="0.2">
      <c r="A18" s="82">
        <f>IF(E18&gt;0,IF(E18&gt;0,1+MAX($A$13:A17),0),0)</f>
        <v>6</v>
      </c>
      <c r="B18" s="89"/>
      <c r="C18" s="116" t="s">
        <v>387</v>
      </c>
      <c r="D18" s="114" t="s">
        <v>73</v>
      </c>
      <c r="E18" s="115">
        <v>518.5</v>
      </c>
      <c r="F18" s="86"/>
      <c r="G18" s="87"/>
      <c r="H18" s="87"/>
      <c r="I18" s="87"/>
      <c r="J18" s="87"/>
      <c r="K18" s="91"/>
      <c r="L18" s="92"/>
      <c r="M18" s="93"/>
      <c r="N18" s="93"/>
      <c r="O18" s="93"/>
      <c r="P18" s="91"/>
      <c r="R18" s="158"/>
      <c r="S18" s="158"/>
      <c r="T18" s="158"/>
    </row>
    <row r="19" spans="1:20" ht="22.5" x14ac:dyDescent="0.2">
      <c r="A19" s="82">
        <f>IF(E19&gt;0,IF(E19&gt;0,1+MAX($A$13:A18),0),0)</f>
        <v>7</v>
      </c>
      <c r="B19" s="89"/>
      <c r="C19" s="90" t="s">
        <v>388</v>
      </c>
      <c r="D19" s="102" t="s">
        <v>73</v>
      </c>
      <c r="E19" s="117">
        <f>E18*1.15</f>
        <v>596.27499999999998</v>
      </c>
      <c r="F19" s="86"/>
      <c r="G19" s="87"/>
      <c r="H19" s="87"/>
      <c r="I19" s="87"/>
      <c r="J19" s="87"/>
      <c r="K19" s="91"/>
      <c r="L19" s="92"/>
      <c r="M19" s="93"/>
      <c r="N19" s="93"/>
      <c r="O19" s="93"/>
      <c r="P19" s="91"/>
      <c r="R19" s="158"/>
      <c r="S19" s="158"/>
      <c r="T19" s="158"/>
    </row>
    <row r="20" spans="1:20" x14ac:dyDescent="0.2">
      <c r="A20" s="82">
        <f>IF(E20&gt;0,IF(E20&gt;0,1+MAX($A$13:A19),0),0)</f>
        <v>8</v>
      </c>
      <c r="B20" s="89"/>
      <c r="C20" s="94" t="s">
        <v>155</v>
      </c>
      <c r="D20" s="118" t="s">
        <v>67</v>
      </c>
      <c r="E20" s="117">
        <v>3</v>
      </c>
      <c r="F20" s="86"/>
      <c r="G20" s="87"/>
      <c r="H20" s="87"/>
      <c r="I20" s="87"/>
      <c r="J20" s="87"/>
      <c r="K20" s="91"/>
      <c r="L20" s="92"/>
      <c r="M20" s="93"/>
      <c r="N20" s="93"/>
      <c r="O20" s="93"/>
      <c r="P20" s="91"/>
      <c r="R20" s="158"/>
      <c r="S20" s="158"/>
      <c r="T20" s="158"/>
    </row>
    <row r="21" spans="1:20" ht="33.75" x14ac:dyDescent="0.2">
      <c r="A21" s="82">
        <f>IF(E21&gt;0,IF(E21&gt;0,1+MAX($A$13:A20),0),0)</f>
        <v>9</v>
      </c>
      <c r="B21" s="89"/>
      <c r="C21" s="90" t="s">
        <v>156</v>
      </c>
      <c r="D21" s="118" t="s">
        <v>67</v>
      </c>
      <c r="E21" s="117">
        <v>3</v>
      </c>
      <c r="F21" s="86"/>
      <c r="G21" s="87"/>
      <c r="H21" s="87"/>
      <c r="I21" s="87"/>
      <c r="J21" s="87"/>
      <c r="K21" s="91"/>
      <c r="L21" s="92"/>
      <c r="M21" s="93"/>
      <c r="N21" s="93"/>
      <c r="O21" s="93"/>
      <c r="P21" s="91"/>
      <c r="R21" s="158"/>
      <c r="S21" s="158"/>
      <c r="T21" s="158"/>
    </row>
    <row r="22" spans="1:20" ht="12" thickBot="1" x14ac:dyDescent="0.25">
      <c r="A22" s="82">
        <f>IF(E22&gt;0,IF(E22&gt;0,1+MAX($A$13:A21),0),0)</f>
        <v>10</v>
      </c>
      <c r="B22" s="89"/>
      <c r="C22" s="94" t="s">
        <v>157</v>
      </c>
      <c r="D22" s="118" t="s">
        <v>65</v>
      </c>
      <c r="E22" s="117">
        <v>12</v>
      </c>
      <c r="F22" s="86"/>
      <c r="G22" s="87"/>
      <c r="H22" s="87"/>
      <c r="I22" s="87"/>
      <c r="J22" s="87"/>
      <c r="K22" s="91"/>
      <c r="L22" s="92"/>
      <c r="M22" s="93"/>
      <c r="N22" s="93"/>
      <c r="O22" s="93"/>
      <c r="P22" s="91"/>
      <c r="R22" s="158"/>
      <c r="S22" s="158"/>
      <c r="T22" s="158"/>
    </row>
    <row r="23" spans="1:20" ht="12" customHeight="1" thickBot="1" x14ac:dyDescent="0.25">
      <c r="A23" s="286" t="s">
        <v>278</v>
      </c>
      <c r="B23" s="287"/>
      <c r="C23" s="287"/>
      <c r="D23" s="287"/>
      <c r="E23" s="287"/>
      <c r="F23" s="287"/>
      <c r="G23" s="287"/>
      <c r="H23" s="287"/>
      <c r="I23" s="287"/>
      <c r="J23" s="287"/>
      <c r="K23" s="288"/>
      <c r="L23" s="95">
        <f>SUM(L13:L22)</f>
        <v>0</v>
      </c>
      <c r="M23" s="96">
        <f>SUM(M13:M22)</f>
        <v>0</v>
      </c>
      <c r="N23" s="96">
        <f>SUM(N13:N22)</f>
        <v>0</v>
      </c>
      <c r="O23" s="96">
        <f>SUM(O13:O22)</f>
        <v>0</v>
      </c>
      <c r="P23" s="97">
        <f>SUM(P13:P22)</f>
        <v>0</v>
      </c>
    </row>
    <row r="24" spans="1:20" x14ac:dyDescent="0.2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</row>
    <row r="25" spans="1:20" x14ac:dyDescent="0.2">
      <c r="A25" s="39" t="s">
        <v>14</v>
      </c>
      <c r="B25" s="64"/>
      <c r="C25" s="285" t="str">
        <f>'Kops a'!C33:H33</f>
        <v>Armands Ūbelis</v>
      </c>
      <c r="D25" s="285"/>
      <c r="E25" s="285"/>
      <c r="F25" s="285"/>
      <c r="G25" s="285"/>
      <c r="H25" s="285"/>
      <c r="I25" s="64"/>
      <c r="J25" s="64"/>
      <c r="K25" s="64"/>
      <c r="L25" s="64"/>
      <c r="M25" s="64"/>
      <c r="N25" s="64"/>
      <c r="O25" s="64"/>
      <c r="P25" s="64"/>
    </row>
    <row r="26" spans="1:20" x14ac:dyDescent="0.2">
      <c r="A26" s="64"/>
      <c r="B26" s="64"/>
      <c r="C26" s="222" t="s">
        <v>15</v>
      </c>
      <c r="D26" s="222"/>
      <c r="E26" s="222"/>
      <c r="F26" s="222"/>
      <c r="G26" s="222"/>
      <c r="H26" s="222"/>
      <c r="I26" s="64"/>
      <c r="J26" s="64"/>
      <c r="K26" s="64"/>
      <c r="L26" s="64"/>
      <c r="M26" s="64"/>
      <c r="N26" s="64"/>
      <c r="O26" s="64"/>
      <c r="P26" s="64"/>
    </row>
    <row r="27" spans="1:20" x14ac:dyDescent="0.2">
      <c r="A27" s="98" t="str">
        <f>'Kops a'!A36</f>
        <v>Tāme sastādīta 2021. gada 13. maijā</v>
      </c>
      <c r="B27" s="99"/>
      <c r="C27" s="99"/>
      <c r="D27" s="99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</row>
    <row r="28" spans="1:20" x14ac:dyDescent="0.2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</row>
    <row r="29" spans="1:20" x14ac:dyDescent="0.2">
      <c r="A29" s="39" t="s">
        <v>37</v>
      </c>
      <c r="B29" s="64"/>
      <c r="C29" s="285" t="str">
        <f>'Kops a'!C38:H38</f>
        <v xml:space="preserve"> </v>
      </c>
      <c r="D29" s="285"/>
      <c r="E29" s="285"/>
      <c r="F29" s="285"/>
      <c r="G29" s="285"/>
      <c r="H29" s="285"/>
      <c r="I29" s="64"/>
      <c r="J29" s="64"/>
      <c r="K29" s="64"/>
      <c r="L29" s="64"/>
      <c r="M29" s="64"/>
      <c r="N29" s="64"/>
      <c r="O29" s="64"/>
      <c r="P29" s="64"/>
    </row>
    <row r="30" spans="1:20" x14ac:dyDescent="0.2">
      <c r="A30" s="64"/>
      <c r="B30" s="64"/>
      <c r="C30" s="222" t="s">
        <v>15</v>
      </c>
      <c r="D30" s="222"/>
      <c r="E30" s="222"/>
      <c r="F30" s="222"/>
      <c r="G30" s="222"/>
      <c r="H30" s="222"/>
      <c r="I30" s="64"/>
      <c r="J30" s="64"/>
      <c r="K30" s="64"/>
      <c r="L30" s="64"/>
      <c r="M30" s="64"/>
      <c r="N30" s="64"/>
      <c r="O30" s="64"/>
      <c r="P30" s="64"/>
    </row>
    <row r="31" spans="1:20" x14ac:dyDescent="0.2">
      <c r="A31" s="98" t="s">
        <v>54</v>
      </c>
      <c r="B31" s="99"/>
      <c r="C31" s="100" t="str">
        <f>'Kops a'!C41</f>
        <v>4-02608</v>
      </c>
      <c r="D31" s="101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</row>
    <row r="32" spans="1:20" x14ac:dyDescent="0.2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</row>
  </sheetData>
  <mergeCells count="22">
    <mergeCell ref="C30:H30"/>
    <mergeCell ref="C4:I4"/>
    <mergeCell ref="F11:K11"/>
    <mergeCell ref="A9:F9"/>
    <mergeCell ref="J9:M9"/>
    <mergeCell ref="D8:L8"/>
    <mergeCell ref="A23:K23"/>
    <mergeCell ref="C25:H25"/>
    <mergeCell ref="C26:H26"/>
    <mergeCell ref="C29:H29"/>
    <mergeCell ref="A11:A12"/>
    <mergeCell ref="B11:B12"/>
    <mergeCell ref="C11:C12"/>
    <mergeCell ref="D11:D12"/>
    <mergeCell ref="E11:E12"/>
    <mergeCell ref="L11:P11"/>
    <mergeCell ref="N9:O9"/>
    <mergeCell ref="C2:I2"/>
    <mergeCell ref="C3:I3"/>
    <mergeCell ref="D5:L5"/>
    <mergeCell ref="D6:L6"/>
    <mergeCell ref="D7:L7"/>
  </mergeCells>
  <conditionalFormatting sqref="B14:G22 A13:A22 I14:J22">
    <cfRule type="cellIs" dxfId="141" priority="37" operator="equal">
      <formula>0</formula>
    </cfRule>
  </conditionalFormatting>
  <conditionalFormatting sqref="N9:O9 K13:P22 H14:H22">
    <cfRule type="cellIs" dxfId="140" priority="36" operator="equal">
      <formula>0</formula>
    </cfRule>
  </conditionalFormatting>
  <conditionalFormatting sqref="C2:I2">
    <cfRule type="cellIs" dxfId="139" priority="33" operator="equal">
      <formula>0</formula>
    </cfRule>
  </conditionalFormatting>
  <conditionalFormatting sqref="O10">
    <cfRule type="cellIs" dxfId="138" priority="32" operator="equal">
      <formula>"20__. gada __. _________"</formula>
    </cfRule>
  </conditionalFormatting>
  <conditionalFormatting sqref="L23:P23">
    <cfRule type="cellIs" dxfId="137" priority="26" operator="equal">
      <formula>0</formula>
    </cfRule>
  </conditionalFormatting>
  <conditionalFormatting sqref="C4:I4">
    <cfRule type="cellIs" dxfId="136" priority="25" operator="equal">
      <formula>0</formula>
    </cfRule>
  </conditionalFormatting>
  <conditionalFormatting sqref="D5:L8">
    <cfRule type="cellIs" dxfId="135" priority="22" operator="equal">
      <formula>0</formula>
    </cfRule>
  </conditionalFormatting>
  <conditionalFormatting sqref="B13 D13:E13">
    <cfRule type="cellIs" dxfId="134" priority="21" operator="equal">
      <formula>0</formula>
    </cfRule>
  </conditionalFormatting>
  <conditionalFormatting sqref="C13">
    <cfRule type="cellIs" dxfId="133" priority="20" operator="equal">
      <formula>0</formula>
    </cfRule>
  </conditionalFormatting>
  <conditionalFormatting sqref="P10">
    <cfRule type="cellIs" dxfId="132" priority="18" operator="equal">
      <formula>"20__. gada __. _________"</formula>
    </cfRule>
  </conditionalFormatting>
  <conditionalFormatting sqref="C29:H29">
    <cfRule type="cellIs" dxfId="131" priority="15" operator="equal">
      <formula>0</formula>
    </cfRule>
  </conditionalFormatting>
  <conditionalFormatting sqref="C25:H25">
    <cfRule type="cellIs" dxfId="130" priority="14" operator="equal">
      <formula>0</formula>
    </cfRule>
  </conditionalFormatting>
  <conditionalFormatting sqref="C29:H29 C31 C25:H25">
    <cfRule type="cellIs" dxfId="129" priority="13" operator="equal">
      <formula>0</formula>
    </cfRule>
  </conditionalFormatting>
  <conditionalFormatting sqref="D1">
    <cfRule type="cellIs" dxfId="128" priority="12" operator="equal">
      <formula>0</formula>
    </cfRule>
  </conditionalFormatting>
  <conditionalFormatting sqref="A9:F9">
    <cfRule type="containsText" dxfId="127" priority="1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23:K23">
    <cfRule type="containsText" dxfId="126" priority="10" operator="containsText" text="Tiešās izmaksas kopā, t. sk. darba devēja sociālais nodoklis __.__% ">
      <formula>NOT(ISERROR(SEARCH("Tiešās izmaksas kopā, t. sk. darba devēja sociālais nodoklis __.__% ",A23)))</formula>
    </cfRule>
  </conditionalFormatting>
  <conditionalFormatting sqref="F13:G13 I13:J13">
    <cfRule type="cellIs" dxfId="125" priority="7" operator="equal">
      <formula>0</formula>
    </cfRule>
  </conditionalFormatting>
  <conditionalFormatting sqref="H13">
    <cfRule type="cellIs" dxfId="124" priority="6" operator="equal">
      <formula>0</formula>
    </cfRule>
  </conditionalFormatting>
  <pageMargins left="0.25" right="0.25" top="0.57291666666666663" bottom="0.5312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0B610FE1-6F17-46AF-982B-27B20E80701D}">
            <xm:f>NOT(ISERROR(SEARCH("Tāme sastādīta ____. gada ___. ______________",A27)))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A27</xm:sqref>
        </x14:conditionalFormatting>
        <x14:conditionalFormatting xmlns:xm="http://schemas.microsoft.com/office/excel/2006/main">
          <x14:cfRule type="containsText" priority="16" operator="containsText" id="{F3EAEDA8-031E-4BF8-B71A-4A6D64C3BFEB}">
            <xm:f>NOT(ISERROR(SEARCH("Sertifikāta Nr. _________________________________",A31)))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Q103"/>
  <sheetViews>
    <sheetView topLeftCell="A5" zoomScaleNormal="100" workbookViewId="0">
      <selection activeCell="F14" sqref="F14:P90"/>
    </sheetView>
  </sheetViews>
  <sheetFormatPr defaultColWidth="9.140625" defaultRowHeight="11.25" x14ac:dyDescent="0.2"/>
  <cols>
    <col min="1" max="1" width="4.5703125" style="39" customWidth="1"/>
    <col min="2" max="2" width="5.28515625" style="39" customWidth="1"/>
    <col min="3" max="3" width="38.42578125" style="39" customWidth="1"/>
    <col min="4" max="4" width="5.85546875" style="39" customWidth="1"/>
    <col min="5" max="5" width="8.7109375" style="39" customWidth="1"/>
    <col min="6" max="6" width="5.42578125" style="39" customWidth="1"/>
    <col min="7" max="7" width="4.85546875" style="39" customWidth="1"/>
    <col min="8" max="10" width="6.7109375" style="39" customWidth="1"/>
    <col min="11" max="11" width="7" style="39" customWidth="1"/>
    <col min="12" max="12" width="7.7109375" style="39" customWidth="1"/>
    <col min="13" max="14" width="8.28515625" style="39" bestFit="1" customWidth="1"/>
    <col min="15" max="15" width="7.7109375" style="39" customWidth="1"/>
    <col min="16" max="16" width="9" style="39" customWidth="1"/>
    <col min="17" max="16384" width="9.140625" style="39"/>
  </cols>
  <sheetData>
    <row r="1" spans="1:16" x14ac:dyDescent="0.2">
      <c r="A1" s="65"/>
      <c r="B1" s="65"/>
      <c r="C1" s="66" t="s">
        <v>38</v>
      </c>
      <c r="D1" s="67">
        <f>'Kops a'!A19</f>
        <v>0</v>
      </c>
      <c r="E1" s="65"/>
      <c r="F1" s="65"/>
      <c r="G1" s="65"/>
      <c r="H1" s="65"/>
      <c r="I1" s="65"/>
      <c r="J1" s="65"/>
      <c r="N1" s="68"/>
      <c r="O1" s="66"/>
      <c r="P1" s="69"/>
    </row>
    <row r="2" spans="1:16" x14ac:dyDescent="0.2">
      <c r="A2" s="70"/>
      <c r="B2" s="70"/>
      <c r="C2" s="268" t="s">
        <v>60</v>
      </c>
      <c r="D2" s="268"/>
      <c r="E2" s="268"/>
      <c r="F2" s="268"/>
      <c r="G2" s="268"/>
      <c r="H2" s="268"/>
      <c r="I2" s="268"/>
      <c r="J2" s="70"/>
    </row>
    <row r="3" spans="1:16" x14ac:dyDescent="0.2">
      <c r="A3" s="71"/>
      <c r="B3" s="71"/>
      <c r="C3" s="231" t="s">
        <v>17</v>
      </c>
      <c r="D3" s="231"/>
      <c r="E3" s="231"/>
      <c r="F3" s="231"/>
      <c r="G3" s="231"/>
      <c r="H3" s="231"/>
      <c r="I3" s="231"/>
      <c r="J3" s="71"/>
    </row>
    <row r="4" spans="1:16" x14ac:dyDescent="0.2">
      <c r="A4" s="71"/>
      <c r="B4" s="71"/>
      <c r="C4" s="269" t="s">
        <v>52</v>
      </c>
      <c r="D4" s="269"/>
      <c r="E4" s="269"/>
      <c r="F4" s="269"/>
      <c r="G4" s="269"/>
      <c r="H4" s="269"/>
      <c r="I4" s="269"/>
      <c r="J4" s="71"/>
    </row>
    <row r="5" spans="1:16" x14ac:dyDescent="0.2">
      <c r="A5" s="65"/>
      <c r="B5" s="65"/>
      <c r="C5" s="66" t="s">
        <v>5</v>
      </c>
      <c r="D5" s="282" t="str">
        <f>'Kops a'!D6</f>
        <v>Daudzdzīvokļu dzīvojamās ēkas vienkāršota fasādes atjaunošana.</v>
      </c>
      <c r="E5" s="282"/>
      <c r="F5" s="282"/>
      <c r="G5" s="282"/>
      <c r="H5" s="282"/>
      <c r="I5" s="282"/>
      <c r="J5" s="282"/>
      <c r="K5" s="282"/>
      <c r="L5" s="282"/>
      <c r="M5" s="64"/>
      <c r="N5" s="64"/>
      <c r="O5" s="64"/>
      <c r="P5" s="64"/>
    </row>
    <row r="6" spans="1:16" x14ac:dyDescent="0.2">
      <c r="A6" s="65"/>
      <c r="B6" s="65"/>
      <c r="C6" s="66" t="s">
        <v>6</v>
      </c>
      <c r="D6" s="282" t="str">
        <f>'Kops a'!D7</f>
        <v>Daudzdzīvokļu dzīvojamās ēkas vienkāršota fasādes atjaunošana.</v>
      </c>
      <c r="E6" s="282"/>
      <c r="F6" s="282"/>
      <c r="G6" s="282"/>
      <c r="H6" s="282"/>
      <c r="I6" s="282"/>
      <c r="J6" s="282"/>
      <c r="K6" s="282"/>
      <c r="L6" s="282"/>
      <c r="M6" s="64"/>
      <c r="N6" s="64"/>
      <c r="O6" s="64"/>
      <c r="P6" s="64"/>
    </row>
    <row r="7" spans="1:16" x14ac:dyDescent="0.2">
      <c r="A7" s="65"/>
      <c r="B7" s="65"/>
      <c r="C7" s="66" t="s">
        <v>7</v>
      </c>
      <c r="D7" s="282" t="str">
        <f>'Kops a'!D8</f>
        <v>Smilšu iela 42, k-1, Tukums</v>
      </c>
      <c r="E7" s="282"/>
      <c r="F7" s="282"/>
      <c r="G7" s="282"/>
      <c r="H7" s="282"/>
      <c r="I7" s="282"/>
      <c r="J7" s="282"/>
      <c r="K7" s="282"/>
      <c r="L7" s="282"/>
      <c r="M7" s="64"/>
      <c r="N7" s="64"/>
      <c r="O7" s="64"/>
      <c r="P7" s="64"/>
    </row>
    <row r="8" spans="1:16" x14ac:dyDescent="0.2">
      <c r="A8" s="65"/>
      <c r="B8" s="65"/>
      <c r="C8" s="205" t="s">
        <v>20</v>
      </c>
      <c r="D8" s="282" t="str">
        <f>'Kops a'!D9</f>
        <v xml:space="preserve"> </v>
      </c>
      <c r="E8" s="282"/>
      <c r="F8" s="282"/>
      <c r="G8" s="282"/>
      <c r="H8" s="282"/>
      <c r="I8" s="282"/>
      <c r="J8" s="282"/>
      <c r="K8" s="282"/>
      <c r="L8" s="282"/>
      <c r="M8" s="64"/>
      <c r="N8" s="64"/>
      <c r="O8" s="64"/>
      <c r="P8" s="64"/>
    </row>
    <row r="9" spans="1:16" ht="11.25" customHeight="1" x14ac:dyDescent="0.2">
      <c r="A9" s="270" t="s">
        <v>293</v>
      </c>
      <c r="B9" s="270"/>
      <c r="C9" s="270"/>
      <c r="D9" s="270"/>
      <c r="E9" s="270"/>
      <c r="F9" s="270"/>
      <c r="G9" s="72"/>
      <c r="H9" s="72"/>
      <c r="I9" s="72"/>
      <c r="J9" s="274" t="s">
        <v>39</v>
      </c>
      <c r="K9" s="274"/>
      <c r="L9" s="274"/>
      <c r="M9" s="274"/>
      <c r="N9" s="281">
        <f>P91</f>
        <v>0</v>
      </c>
      <c r="O9" s="281"/>
      <c r="P9" s="72"/>
    </row>
    <row r="10" spans="1:16" x14ac:dyDescent="0.2">
      <c r="A10" s="73"/>
      <c r="B10" s="74"/>
      <c r="C10" s="205"/>
      <c r="D10" s="65"/>
      <c r="E10" s="65"/>
      <c r="F10" s="65"/>
      <c r="G10" s="65"/>
      <c r="H10" s="65"/>
      <c r="I10" s="65"/>
      <c r="J10" s="65"/>
      <c r="K10" s="65"/>
      <c r="L10" s="70"/>
      <c r="M10" s="70"/>
      <c r="O10" s="75"/>
      <c r="P10" s="76" t="str">
        <f>A97</f>
        <v>Tāme sastādīta 2021. gada 13. maijā</v>
      </c>
    </row>
    <row r="11" spans="1:16" ht="12" thickBot="1" x14ac:dyDescent="0.25">
      <c r="A11" s="73"/>
      <c r="B11" s="74"/>
      <c r="C11" s="205"/>
      <c r="D11" s="65"/>
      <c r="E11" s="65"/>
      <c r="F11" s="65"/>
      <c r="G11" s="65"/>
      <c r="H11" s="65"/>
      <c r="I11" s="65"/>
      <c r="J11" s="65"/>
      <c r="K11" s="65"/>
      <c r="L11" s="77"/>
      <c r="M11" s="77"/>
      <c r="N11" s="78"/>
      <c r="O11" s="68"/>
      <c r="P11" s="65"/>
    </row>
    <row r="12" spans="1:16" x14ac:dyDescent="0.2">
      <c r="A12" s="244" t="s">
        <v>23</v>
      </c>
      <c r="B12" s="276" t="s">
        <v>40</v>
      </c>
      <c r="C12" s="272" t="s">
        <v>41</v>
      </c>
      <c r="D12" s="279" t="s">
        <v>42</v>
      </c>
      <c r="E12" s="283" t="s">
        <v>43</v>
      </c>
      <c r="F12" s="271" t="s">
        <v>44</v>
      </c>
      <c r="G12" s="272"/>
      <c r="H12" s="272"/>
      <c r="I12" s="272"/>
      <c r="J12" s="272"/>
      <c r="K12" s="273"/>
      <c r="L12" s="271" t="s">
        <v>45</v>
      </c>
      <c r="M12" s="272"/>
      <c r="N12" s="272"/>
      <c r="O12" s="272"/>
      <c r="P12" s="273"/>
    </row>
    <row r="13" spans="1:16" ht="126.75" customHeight="1" thickBot="1" x14ac:dyDescent="0.25">
      <c r="A13" s="275"/>
      <c r="B13" s="277"/>
      <c r="C13" s="278"/>
      <c r="D13" s="280"/>
      <c r="E13" s="284"/>
      <c r="F13" s="208" t="s">
        <v>46</v>
      </c>
      <c r="G13" s="209" t="s">
        <v>47</v>
      </c>
      <c r="H13" s="209" t="s">
        <v>48</v>
      </c>
      <c r="I13" s="209" t="s">
        <v>49</v>
      </c>
      <c r="J13" s="209" t="s">
        <v>50</v>
      </c>
      <c r="K13" s="81" t="s">
        <v>51</v>
      </c>
      <c r="L13" s="208" t="s">
        <v>46</v>
      </c>
      <c r="M13" s="209" t="s">
        <v>48</v>
      </c>
      <c r="N13" s="209" t="s">
        <v>49</v>
      </c>
      <c r="O13" s="209" t="s">
        <v>50</v>
      </c>
      <c r="P13" s="81" t="s">
        <v>51</v>
      </c>
    </row>
    <row r="14" spans="1:16" x14ac:dyDescent="0.2">
      <c r="A14" s="82">
        <f>IF(E14&gt;0,IF(E14&gt;0,1+MAX(A13),0),0)</f>
        <v>1</v>
      </c>
      <c r="B14" s="83"/>
      <c r="C14" s="94" t="s">
        <v>158</v>
      </c>
      <c r="D14" s="102" t="s">
        <v>73</v>
      </c>
      <c r="E14" s="108">
        <f>139*17.94-115</f>
        <v>2378.6600000000003</v>
      </c>
      <c r="F14" s="86"/>
      <c r="G14" s="87"/>
      <c r="H14" s="87"/>
      <c r="I14" s="87"/>
      <c r="J14" s="87"/>
      <c r="K14" s="88"/>
      <c r="L14" s="86"/>
      <c r="M14" s="87"/>
      <c r="N14" s="87"/>
      <c r="O14" s="87"/>
      <c r="P14" s="88"/>
    </row>
    <row r="15" spans="1:16" x14ac:dyDescent="0.2">
      <c r="A15" s="82">
        <f>IF(E15&gt;0,IF(E15&gt;0,1+MAX(A14),0),0)</f>
        <v>2</v>
      </c>
      <c r="B15" s="89"/>
      <c r="C15" s="90" t="s">
        <v>159</v>
      </c>
      <c r="D15" s="102" t="s">
        <v>73</v>
      </c>
      <c r="E15" s="198">
        <f>E14</f>
        <v>2378.6600000000003</v>
      </c>
      <c r="F15" s="86"/>
      <c r="G15" s="87"/>
      <c r="H15" s="87"/>
      <c r="I15" s="87"/>
      <c r="J15" s="87"/>
      <c r="K15" s="91"/>
      <c r="L15" s="92"/>
      <c r="M15" s="93"/>
      <c r="N15" s="93"/>
      <c r="O15" s="93"/>
      <c r="P15" s="91"/>
    </row>
    <row r="16" spans="1:16" x14ac:dyDescent="0.2">
      <c r="A16" s="82">
        <f>IF(E16&gt;0,IF(E16&gt;0,1+MAX($A$14:A15),0),0)</f>
        <v>3</v>
      </c>
      <c r="B16" s="89"/>
      <c r="C16" s="90" t="s">
        <v>160</v>
      </c>
      <c r="D16" s="102" t="s">
        <v>73</v>
      </c>
      <c r="E16" s="198">
        <f>E14*1.1</f>
        <v>2616.5260000000007</v>
      </c>
      <c r="F16" s="86"/>
      <c r="G16" s="87"/>
      <c r="H16" s="87"/>
      <c r="I16" s="87"/>
      <c r="J16" s="87"/>
      <c r="K16" s="91"/>
      <c r="L16" s="92"/>
      <c r="M16" s="93"/>
      <c r="N16" s="93"/>
      <c r="O16" s="93"/>
      <c r="P16" s="91"/>
    </row>
    <row r="17" spans="1:17" ht="22.5" x14ac:dyDescent="0.2">
      <c r="A17" s="82">
        <f>IF(E17&gt;0,IF(E17&gt;0,1+MAX($A$14:A16),0),0)</f>
        <v>4</v>
      </c>
      <c r="B17" s="89"/>
      <c r="C17" s="94" t="s">
        <v>161</v>
      </c>
      <c r="D17" s="102" t="s">
        <v>65</v>
      </c>
      <c r="E17" s="198">
        <v>139</v>
      </c>
      <c r="F17" s="86"/>
      <c r="G17" s="87"/>
      <c r="H17" s="87"/>
      <c r="I17" s="87"/>
      <c r="J17" s="87"/>
      <c r="K17" s="91"/>
      <c r="L17" s="92"/>
      <c r="M17" s="93"/>
      <c r="N17" s="93"/>
      <c r="O17" s="93"/>
      <c r="P17" s="91"/>
    </row>
    <row r="18" spans="1:17" x14ac:dyDescent="0.2">
      <c r="A18" s="82">
        <f t="shared" ref="A18:A19" si="0">IF(E18&gt;0,IF(E18&gt;0,1+MAX(A17),0),0)</f>
        <v>5</v>
      </c>
      <c r="B18" s="89"/>
      <c r="C18" s="94" t="s">
        <v>376</v>
      </c>
      <c r="D18" s="102" t="s">
        <v>73</v>
      </c>
      <c r="E18" s="198">
        <f>11.7*17.34</f>
        <v>202.87799999999999</v>
      </c>
      <c r="F18" s="86"/>
      <c r="G18" s="87"/>
      <c r="H18" s="87"/>
      <c r="I18" s="87"/>
      <c r="J18" s="87"/>
      <c r="K18" s="91"/>
      <c r="L18" s="92"/>
      <c r="M18" s="93"/>
      <c r="N18" s="93"/>
      <c r="O18" s="93"/>
      <c r="P18" s="91"/>
    </row>
    <row r="19" spans="1:17" ht="22.5" x14ac:dyDescent="0.2">
      <c r="A19" s="82">
        <f t="shared" si="0"/>
        <v>6</v>
      </c>
      <c r="B19" s="89"/>
      <c r="C19" s="94" t="s">
        <v>390</v>
      </c>
      <c r="D19" s="102" t="s">
        <v>73</v>
      </c>
      <c r="E19" s="198">
        <v>2243.14</v>
      </c>
      <c r="F19" s="86"/>
      <c r="G19" s="87"/>
      <c r="H19" s="87"/>
      <c r="I19" s="87"/>
      <c r="J19" s="87"/>
      <c r="K19" s="91"/>
      <c r="L19" s="92"/>
      <c r="M19" s="93"/>
      <c r="N19" s="93"/>
      <c r="O19" s="93"/>
      <c r="P19" s="91"/>
    </row>
    <row r="20" spans="1:17" x14ac:dyDescent="0.2">
      <c r="A20" s="82">
        <f>IF(E20&gt;0,IF(E20&gt;0,1+MAX($A$14:A19),0),0)</f>
        <v>7</v>
      </c>
      <c r="B20" s="89"/>
      <c r="C20" s="94" t="s">
        <v>162</v>
      </c>
      <c r="D20" s="102" t="s">
        <v>110</v>
      </c>
      <c r="E20" s="198">
        <v>65.819999999999993</v>
      </c>
      <c r="F20" s="86"/>
      <c r="G20" s="87"/>
      <c r="H20" s="87"/>
      <c r="I20" s="87"/>
      <c r="J20" s="87"/>
      <c r="K20" s="91"/>
      <c r="L20" s="92"/>
      <c r="M20" s="93"/>
      <c r="N20" s="93"/>
      <c r="O20" s="93"/>
      <c r="P20" s="91"/>
      <c r="Q20" s="221"/>
    </row>
    <row r="21" spans="1:17" x14ac:dyDescent="0.2">
      <c r="A21" s="82">
        <f>IF(E21&gt;0,IF(E21&gt;0,1+MAX($A$14:A20),0),0)</f>
        <v>8</v>
      </c>
      <c r="B21" s="89"/>
      <c r="C21" s="206" t="s">
        <v>163</v>
      </c>
      <c r="D21" s="102" t="s">
        <v>65</v>
      </c>
      <c r="E21" s="198">
        <f>E20*1.1</f>
        <v>72.402000000000001</v>
      </c>
      <c r="F21" s="86"/>
      <c r="G21" s="87"/>
      <c r="H21" s="87"/>
      <c r="I21" s="87"/>
      <c r="J21" s="87"/>
      <c r="K21" s="91"/>
      <c r="L21" s="92"/>
      <c r="M21" s="93"/>
      <c r="N21" s="93"/>
      <c r="O21" s="93"/>
      <c r="P21" s="91"/>
      <c r="Q21" s="221"/>
    </row>
    <row r="22" spans="1:17" x14ac:dyDescent="0.2">
      <c r="A22" s="82">
        <f t="shared" ref="A22:A23" si="1">IF(E22&gt;0,IF(E22&gt;0,1+MAX(A21),0),0)</f>
        <v>9</v>
      </c>
      <c r="B22" s="89"/>
      <c r="C22" s="94" t="s">
        <v>164</v>
      </c>
      <c r="D22" s="102" t="s">
        <v>73</v>
      </c>
      <c r="E22" s="198">
        <f>E19</f>
        <v>2243.14</v>
      </c>
      <c r="F22" s="86"/>
      <c r="G22" s="87"/>
      <c r="H22" s="87"/>
      <c r="I22" s="87"/>
      <c r="J22" s="87"/>
      <c r="K22" s="91"/>
      <c r="L22" s="92"/>
      <c r="M22" s="93"/>
      <c r="N22" s="93"/>
      <c r="O22" s="93"/>
      <c r="P22" s="91"/>
      <c r="Q22" s="221"/>
    </row>
    <row r="23" spans="1:17" x14ac:dyDescent="0.2">
      <c r="A23" s="82">
        <f t="shared" si="1"/>
        <v>10</v>
      </c>
      <c r="B23" s="89"/>
      <c r="C23" s="90" t="s">
        <v>112</v>
      </c>
      <c r="D23" s="102" t="s">
        <v>102</v>
      </c>
      <c r="E23" s="198">
        <f>E22*0.2</f>
        <v>448.62799999999999</v>
      </c>
      <c r="F23" s="86"/>
      <c r="G23" s="87"/>
      <c r="H23" s="87"/>
      <c r="I23" s="87"/>
      <c r="J23" s="87"/>
      <c r="K23" s="91"/>
      <c r="L23" s="92"/>
      <c r="M23" s="93"/>
      <c r="N23" s="93"/>
      <c r="O23" s="93"/>
      <c r="P23" s="91"/>
    </row>
    <row r="24" spans="1:17" x14ac:dyDescent="0.2">
      <c r="A24" s="82">
        <f>IF(E24&gt;0,IF(E24&gt;0,1+MAX($A$14:A23),0),0)</f>
        <v>11</v>
      </c>
      <c r="B24" s="89"/>
      <c r="C24" s="94" t="s">
        <v>328</v>
      </c>
      <c r="D24" s="102" t="s">
        <v>73</v>
      </c>
      <c r="E24" s="198">
        <v>1468.75</v>
      </c>
      <c r="F24" s="86"/>
      <c r="G24" s="87"/>
      <c r="H24" s="87"/>
      <c r="I24" s="87"/>
      <c r="J24" s="87"/>
      <c r="K24" s="91"/>
      <c r="L24" s="92"/>
      <c r="M24" s="93"/>
      <c r="N24" s="93"/>
      <c r="O24" s="93"/>
      <c r="P24" s="91"/>
    </row>
    <row r="25" spans="1:17" x14ac:dyDescent="0.2">
      <c r="A25" s="82">
        <f>IF(E25&gt;0,IF(E25&gt;0,1+MAX($A$14:A24),0),0)</f>
        <v>12</v>
      </c>
      <c r="B25" s="89"/>
      <c r="C25" s="90" t="s">
        <v>350</v>
      </c>
      <c r="D25" s="102" t="s">
        <v>73</v>
      </c>
      <c r="E25" s="198">
        <f>E24*1.1</f>
        <v>1615.6250000000002</v>
      </c>
      <c r="F25" s="86"/>
      <c r="G25" s="87"/>
      <c r="H25" s="87"/>
      <c r="I25" s="87"/>
      <c r="J25" s="87"/>
      <c r="K25" s="91"/>
      <c r="L25" s="92"/>
      <c r="M25" s="93"/>
      <c r="N25" s="93"/>
      <c r="O25" s="93"/>
      <c r="P25" s="91"/>
    </row>
    <row r="26" spans="1:17" x14ac:dyDescent="0.2">
      <c r="A26" s="82">
        <f t="shared" ref="A26:A27" si="2">IF(E26&gt;0,IF(E26&gt;0,1+MAX(A25),0),0)</f>
        <v>13</v>
      </c>
      <c r="B26" s="89"/>
      <c r="C26" s="206" t="s">
        <v>137</v>
      </c>
      <c r="D26" s="102" t="s">
        <v>67</v>
      </c>
      <c r="E26" s="198">
        <f>E24*8</f>
        <v>11750</v>
      </c>
      <c r="F26" s="86"/>
      <c r="G26" s="87"/>
      <c r="H26" s="87"/>
      <c r="I26" s="87"/>
      <c r="J26" s="87"/>
      <c r="K26" s="91"/>
      <c r="L26" s="92"/>
      <c r="M26" s="93"/>
      <c r="N26" s="93"/>
      <c r="O26" s="93"/>
      <c r="P26" s="91"/>
    </row>
    <row r="27" spans="1:17" x14ac:dyDescent="0.2">
      <c r="A27" s="82">
        <f t="shared" si="2"/>
        <v>14</v>
      </c>
      <c r="B27" s="89"/>
      <c r="C27" s="206" t="s">
        <v>136</v>
      </c>
      <c r="D27" s="102" t="s">
        <v>102</v>
      </c>
      <c r="E27" s="198">
        <f>E24*6</f>
        <v>8812.5</v>
      </c>
      <c r="F27" s="86"/>
      <c r="G27" s="87"/>
      <c r="H27" s="87"/>
      <c r="I27" s="87"/>
      <c r="J27" s="87"/>
      <c r="K27" s="91"/>
      <c r="L27" s="92"/>
      <c r="M27" s="93"/>
      <c r="N27" s="93"/>
      <c r="O27" s="93"/>
      <c r="P27" s="91"/>
    </row>
    <row r="28" spans="1:17" x14ac:dyDescent="0.2">
      <c r="A28" s="82">
        <f>IF(E28&gt;0,IF(E28&gt;0,1+MAX($A$14:A27),0),0)</f>
        <v>15</v>
      </c>
      <c r="B28" s="89"/>
      <c r="C28" s="94" t="s">
        <v>328</v>
      </c>
      <c r="D28" s="102" t="s">
        <v>73</v>
      </c>
      <c r="E28" s="198">
        <v>85.62</v>
      </c>
      <c r="F28" s="86"/>
      <c r="G28" s="87"/>
      <c r="H28" s="87"/>
      <c r="I28" s="87"/>
      <c r="J28" s="87"/>
      <c r="K28" s="91"/>
      <c r="L28" s="92"/>
      <c r="M28" s="93"/>
      <c r="N28" s="93"/>
      <c r="O28" s="93"/>
      <c r="P28" s="91"/>
    </row>
    <row r="29" spans="1:17" x14ac:dyDescent="0.2">
      <c r="A29" s="82">
        <f>IF(E29&gt;0,IF(E29&gt;0,1+MAX($A$14:A28),0),0)</f>
        <v>16</v>
      </c>
      <c r="B29" s="89"/>
      <c r="C29" s="90" t="s">
        <v>351</v>
      </c>
      <c r="D29" s="102" t="s">
        <v>73</v>
      </c>
      <c r="E29" s="198">
        <f>E28*1.1</f>
        <v>94.182000000000016</v>
      </c>
      <c r="F29" s="86"/>
      <c r="G29" s="87"/>
      <c r="H29" s="87"/>
      <c r="I29" s="87"/>
      <c r="J29" s="87"/>
      <c r="K29" s="91"/>
      <c r="L29" s="92"/>
      <c r="M29" s="93"/>
      <c r="N29" s="93"/>
      <c r="O29" s="93"/>
      <c r="P29" s="91"/>
    </row>
    <row r="30" spans="1:17" x14ac:dyDescent="0.2">
      <c r="A30" s="82">
        <f t="shared" ref="A30:A31" si="3">IF(E30&gt;0,IF(E30&gt;0,1+MAX(A29),0),0)</f>
        <v>17</v>
      </c>
      <c r="B30" s="89"/>
      <c r="C30" s="206" t="s">
        <v>137</v>
      </c>
      <c r="D30" s="102" t="s">
        <v>67</v>
      </c>
      <c r="E30" s="198">
        <f>E28*8</f>
        <v>684.96</v>
      </c>
      <c r="F30" s="86"/>
      <c r="G30" s="87"/>
      <c r="H30" s="87"/>
      <c r="I30" s="87"/>
      <c r="J30" s="87"/>
      <c r="K30" s="91"/>
      <c r="L30" s="92"/>
      <c r="M30" s="93"/>
      <c r="N30" s="93"/>
      <c r="O30" s="93"/>
      <c r="P30" s="91"/>
    </row>
    <row r="31" spans="1:17" x14ac:dyDescent="0.2">
      <c r="A31" s="82">
        <f t="shared" si="3"/>
        <v>18</v>
      </c>
      <c r="B31" s="89"/>
      <c r="C31" s="206" t="s">
        <v>136</v>
      </c>
      <c r="D31" s="102" t="s">
        <v>102</v>
      </c>
      <c r="E31" s="198">
        <f>E28*6</f>
        <v>513.72</v>
      </c>
      <c r="F31" s="86"/>
      <c r="G31" s="87"/>
      <c r="H31" s="87"/>
      <c r="I31" s="87"/>
      <c r="J31" s="87"/>
      <c r="K31" s="91"/>
      <c r="L31" s="92"/>
      <c r="M31" s="93"/>
      <c r="N31" s="93"/>
      <c r="O31" s="93"/>
      <c r="P31" s="91"/>
    </row>
    <row r="32" spans="1:17" x14ac:dyDescent="0.2">
      <c r="A32" s="82">
        <f>IF(E32&gt;0,IF(E32&gt;0,1+MAX($A$14:A31),0),0)</f>
        <v>19</v>
      </c>
      <c r="B32" s="89"/>
      <c r="C32" s="109" t="s">
        <v>123</v>
      </c>
      <c r="D32" s="102" t="s">
        <v>73</v>
      </c>
      <c r="E32" s="198">
        <f>E22</f>
        <v>2243.14</v>
      </c>
      <c r="F32" s="86"/>
      <c r="G32" s="87"/>
      <c r="H32" s="87"/>
      <c r="I32" s="87"/>
      <c r="J32" s="87"/>
      <c r="K32" s="91"/>
      <c r="L32" s="92"/>
      <c r="M32" s="93"/>
      <c r="N32" s="93"/>
      <c r="O32" s="93"/>
      <c r="P32" s="91"/>
    </row>
    <row r="33" spans="1:16" x14ac:dyDescent="0.2">
      <c r="A33" s="82">
        <f>IF(E33&gt;0,IF(E33&gt;0,1+MAX($A$14:A32),0),0)</f>
        <v>20</v>
      </c>
      <c r="B33" s="89"/>
      <c r="C33" s="90" t="s">
        <v>107</v>
      </c>
      <c r="D33" s="102" t="s">
        <v>102</v>
      </c>
      <c r="E33" s="198">
        <f>E32*7</f>
        <v>15701.98</v>
      </c>
      <c r="F33" s="86"/>
      <c r="G33" s="87"/>
      <c r="H33" s="87"/>
      <c r="I33" s="87"/>
      <c r="J33" s="87"/>
      <c r="K33" s="91"/>
      <c r="L33" s="92"/>
      <c r="M33" s="93"/>
      <c r="N33" s="93"/>
      <c r="O33" s="93"/>
      <c r="P33" s="91"/>
    </row>
    <row r="34" spans="1:16" x14ac:dyDescent="0.2">
      <c r="A34" s="82">
        <f t="shared" ref="A34:A35" si="4">IF(E34&gt;0,IF(E34&gt;0,1+MAX(A33),0),0)</f>
        <v>21</v>
      </c>
      <c r="B34" s="89"/>
      <c r="C34" s="90" t="s">
        <v>108</v>
      </c>
      <c r="D34" s="102" t="s">
        <v>73</v>
      </c>
      <c r="E34" s="198">
        <f>E32*1.15</f>
        <v>2579.6109999999999</v>
      </c>
      <c r="F34" s="86"/>
      <c r="G34" s="87"/>
      <c r="H34" s="87"/>
      <c r="I34" s="87"/>
      <c r="J34" s="87"/>
      <c r="K34" s="91"/>
      <c r="L34" s="92"/>
      <c r="M34" s="93"/>
      <c r="N34" s="93"/>
      <c r="O34" s="93"/>
      <c r="P34" s="91"/>
    </row>
    <row r="35" spans="1:16" x14ac:dyDescent="0.2">
      <c r="A35" s="82">
        <f t="shared" si="4"/>
        <v>22</v>
      </c>
      <c r="B35" s="89"/>
      <c r="C35" s="90" t="s">
        <v>109</v>
      </c>
      <c r="D35" s="102" t="s">
        <v>110</v>
      </c>
      <c r="E35" s="198">
        <f>(10*17.34+26*14.51)*1.25</f>
        <v>688.32499999999993</v>
      </c>
      <c r="F35" s="86"/>
      <c r="G35" s="87"/>
      <c r="H35" s="87"/>
      <c r="I35" s="87"/>
      <c r="J35" s="87"/>
      <c r="K35" s="91"/>
      <c r="L35" s="92"/>
      <c r="M35" s="93"/>
      <c r="N35" s="93"/>
      <c r="O35" s="93"/>
      <c r="P35" s="91"/>
    </row>
    <row r="36" spans="1:16" ht="22.5" x14ac:dyDescent="0.2">
      <c r="A36" s="82">
        <f>IF(E36&gt;0,IF(E36&gt;0,1+MAX($A$14:A35),0),0)</f>
        <v>23</v>
      </c>
      <c r="B36" s="89"/>
      <c r="C36" s="94" t="s">
        <v>111</v>
      </c>
      <c r="D36" s="102" t="s">
        <v>73</v>
      </c>
      <c r="E36" s="198">
        <f>E32</f>
        <v>2243.14</v>
      </c>
      <c r="F36" s="86"/>
      <c r="G36" s="87"/>
      <c r="H36" s="87"/>
      <c r="I36" s="87"/>
      <c r="J36" s="87"/>
      <c r="K36" s="91"/>
      <c r="L36" s="92"/>
      <c r="M36" s="93"/>
      <c r="N36" s="93"/>
      <c r="O36" s="93"/>
      <c r="P36" s="91"/>
    </row>
    <row r="37" spans="1:16" x14ac:dyDescent="0.2">
      <c r="A37" s="82">
        <f>IF(E37&gt;0,IF(E37&gt;0,1+MAX($A$14:A36),0),0)</f>
        <v>24</v>
      </c>
      <c r="B37" s="89"/>
      <c r="C37" s="90" t="s">
        <v>112</v>
      </c>
      <c r="D37" s="102" t="s">
        <v>102</v>
      </c>
      <c r="E37" s="198">
        <f>E36*0.2</f>
        <v>448.62799999999999</v>
      </c>
      <c r="F37" s="86"/>
      <c r="G37" s="87"/>
      <c r="H37" s="87"/>
      <c r="I37" s="87"/>
      <c r="J37" s="87"/>
      <c r="K37" s="91"/>
      <c r="L37" s="92"/>
      <c r="M37" s="93"/>
      <c r="N37" s="93"/>
      <c r="O37" s="93"/>
      <c r="P37" s="91"/>
    </row>
    <row r="38" spans="1:16" x14ac:dyDescent="0.2">
      <c r="A38" s="82">
        <f t="shared" ref="A38:A39" si="5">IF(E38&gt;0,IF(E38&gt;0,1+MAX(A37),0),0)</f>
        <v>25</v>
      </c>
      <c r="B38" s="89"/>
      <c r="C38" s="90" t="s">
        <v>113</v>
      </c>
      <c r="D38" s="102" t="s">
        <v>102</v>
      </c>
      <c r="E38" s="198">
        <f>E36*3.3</f>
        <v>7402.3619999999992</v>
      </c>
      <c r="F38" s="86"/>
      <c r="G38" s="87"/>
      <c r="H38" s="87"/>
      <c r="I38" s="87"/>
      <c r="J38" s="87"/>
      <c r="K38" s="91"/>
      <c r="L38" s="92"/>
      <c r="M38" s="93"/>
      <c r="N38" s="93"/>
      <c r="O38" s="93"/>
      <c r="P38" s="91"/>
    </row>
    <row r="39" spans="1:16" x14ac:dyDescent="0.2">
      <c r="A39" s="82">
        <f t="shared" si="5"/>
        <v>26</v>
      </c>
      <c r="B39" s="89"/>
      <c r="C39" s="94" t="s">
        <v>165</v>
      </c>
      <c r="D39" s="102" t="s">
        <v>65</v>
      </c>
      <c r="E39" s="198">
        <v>261</v>
      </c>
      <c r="F39" s="86"/>
      <c r="G39" s="87"/>
      <c r="H39" s="87"/>
      <c r="I39" s="87"/>
      <c r="J39" s="87"/>
      <c r="K39" s="91"/>
      <c r="L39" s="92"/>
      <c r="M39" s="93"/>
      <c r="N39" s="93"/>
      <c r="O39" s="93"/>
      <c r="P39" s="91"/>
    </row>
    <row r="40" spans="1:16" ht="22.5" x14ac:dyDescent="0.2">
      <c r="A40" s="82">
        <f>IF(E40&gt;0,IF(E40&gt;0,1+MAX($A$14:A39),0),0)</f>
        <v>27</v>
      </c>
      <c r="B40" s="89"/>
      <c r="C40" s="94" t="s">
        <v>166</v>
      </c>
      <c r="D40" s="102" t="s">
        <v>110</v>
      </c>
      <c r="E40" s="198">
        <v>1094.06</v>
      </c>
      <c r="F40" s="86"/>
      <c r="G40" s="87"/>
      <c r="H40" s="87"/>
      <c r="I40" s="87"/>
      <c r="J40" s="87"/>
      <c r="K40" s="91"/>
      <c r="L40" s="92"/>
      <c r="M40" s="93"/>
      <c r="N40" s="93"/>
      <c r="O40" s="93"/>
      <c r="P40" s="91"/>
    </row>
    <row r="41" spans="1:16" x14ac:dyDescent="0.2">
      <c r="A41" s="82">
        <f>IF(E41&gt;0,IF(E41&gt;0,1+MAX($A$14:A40),0),0)</f>
        <v>28</v>
      </c>
      <c r="B41" s="89"/>
      <c r="C41" s="90" t="s">
        <v>389</v>
      </c>
      <c r="D41" s="102" t="s">
        <v>73</v>
      </c>
      <c r="E41" s="198">
        <f>E40*0.2*1.2</f>
        <v>262.57440000000003</v>
      </c>
      <c r="F41" s="86"/>
      <c r="G41" s="87"/>
      <c r="H41" s="87"/>
      <c r="I41" s="87"/>
      <c r="J41" s="87"/>
      <c r="K41" s="91"/>
      <c r="L41" s="92"/>
      <c r="M41" s="93"/>
      <c r="N41" s="93"/>
      <c r="O41" s="93"/>
      <c r="P41" s="91"/>
    </row>
    <row r="42" spans="1:16" x14ac:dyDescent="0.2">
      <c r="A42" s="82">
        <f t="shared" ref="A42:A43" si="6">IF(E42&gt;0,IF(E42&gt;0,1+MAX(A41),0),0)</f>
        <v>29</v>
      </c>
      <c r="B42" s="89"/>
      <c r="C42" s="206" t="s">
        <v>167</v>
      </c>
      <c r="D42" s="102" t="s">
        <v>102</v>
      </c>
      <c r="E42" s="198">
        <f>E40*0.2*6</f>
        <v>1312.8720000000001</v>
      </c>
      <c r="F42" s="86"/>
      <c r="G42" s="87"/>
      <c r="H42" s="87"/>
      <c r="I42" s="87"/>
      <c r="J42" s="87"/>
      <c r="K42" s="91"/>
      <c r="L42" s="92"/>
      <c r="M42" s="93"/>
      <c r="N42" s="93"/>
      <c r="O42" s="93"/>
      <c r="P42" s="91"/>
    </row>
    <row r="43" spans="1:16" x14ac:dyDescent="0.2">
      <c r="A43" s="82">
        <f t="shared" si="6"/>
        <v>30</v>
      </c>
      <c r="B43" s="89"/>
      <c r="C43" s="90" t="s">
        <v>124</v>
      </c>
      <c r="D43" s="102" t="s">
        <v>102</v>
      </c>
      <c r="E43" s="198">
        <f>E40*0.3*7</f>
        <v>2297.5259999999998</v>
      </c>
      <c r="F43" s="86"/>
      <c r="G43" s="87"/>
      <c r="H43" s="87"/>
      <c r="I43" s="87"/>
      <c r="J43" s="87"/>
      <c r="K43" s="91"/>
      <c r="L43" s="92"/>
      <c r="M43" s="93"/>
      <c r="N43" s="93"/>
      <c r="O43" s="93"/>
      <c r="P43" s="91"/>
    </row>
    <row r="44" spans="1:16" x14ac:dyDescent="0.2">
      <c r="A44" s="82">
        <f>IF(E44&gt;0,IF(E44&gt;0,1+MAX($A$14:A43),0),0)</f>
        <v>31</v>
      </c>
      <c r="B44" s="89"/>
      <c r="C44" s="90" t="s">
        <v>168</v>
      </c>
      <c r="D44" s="102" t="s">
        <v>110</v>
      </c>
      <c r="E44" s="198">
        <f>E40*1.1</f>
        <v>1203.4660000000001</v>
      </c>
      <c r="F44" s="86"/>
      <c r="G44" s="87"/>
      <c r="H44" s="87"/>
      <c r="I44" s="87"/>
      <c r="J44" s="87"/>
      <c r="K44" s="91"/>
      <c r="L44" s="92"/>
      <c r="M44" s="93"/>
      <c r="N44" s="93"/>
      <c r="O44" s="93"/>
      <c r="P44" s="91"/>
    </row>
    <row r="45" spans="1:16" x14ac:dyDescent="0.2">
      <c r="A45" s="82">
        <f>IF(E45&gt;0,IF(E45&gt;0,1+MAX($A$14:A44),0),0)</f>
        <v>32</v>
      </c>
      <c r="B45" s="89"/>
      <c r="C45" s="90" t="s">
        <v>120</v>
      </c>
      <c r="D45" s="102" t="s">
        <v>110</v>
      </c>
      <c r="E45" s="198">
        <f>E40-2*E39</f>
        <v>572.05999999999995</v>
      </c>
      <c r="F45" s="86"/>
      <c r="G45" s="87"/>
      <c r="H45" s="87"/>
      <c r="I45" s="87"/>
      <c r="J45" s="87"/>
      <c r="K45" s="91"/>
      <c r="L45" s="92"/>
      <c r="M45" s="93"/>
      <c r="N45" s="93"/>
      <c r="O45" s="93"/>
      <c r="P45" s="91"/>
    </row>
    <row r="46" spans="1:16" x14ac:dyDescent="0.2">
      <c r="A46" s="82">
        <f t="shared" ref="A46:A47" si="7">IF(E46&gt;0,IF(E46&gt;0,1+MAX(A45),0),0)</f>
        <v>33</v>
      </c>
      <c r="B46" s="89"/>
      <c r="C46" s="90" t="s">
        <v>169</v>
      </c>
      <c r="D46" s="102" t="s">
        <v>110</v>
      </c>
      <c r="E46" s="198">
        <f>E39*1.1</f>
        <v>287.10000000000002</v>
      </c>
      <c r="F46" s="86"/>
      <c r="G46" s="87"/>
      <c r="H46" s="87"/>
      <c r="I46" s="87"/>
      <c r="J46" s="87"/>
      <c r="K46" s="91"/>
      <c r="L46" s="92"/>
      <c r="M46" s="93"/>
      <c r="N46" s="93"/>
      <c r="O46" s="93"/>
      <c r="P46" s="91"/>
    </row>
    <row r="47" spans="1:16" x14ac:dyDescent="0.2">
      <c r="A47" s="82">
        <f t="shared" si="7"/>
        <v>34</v>
      </c>
      <c r="B47" s="89"/>
      <c r="C47" s="90" t="s">
        <v>349</v>
      </c>
      <c r="D47" s="102" t="s">
        <v>110</v>
      </c>
      <c r="E47" s="198">
        <f>E46</f>
        <v>287.10000000000002</v>
      </c>
      <c r="F47" s="86"/>
      <c r="G47" s="87"/>
      <c r="H47" s="87"/>
      <c r="I47" s="87"/>
      <c r="J47" s="87"/>
      <c r="K47" s="91"/>
      <c r="L47" s="92"/>
      <c r="M47" s="93"/>
      <c r="N47" s="93"/>
      <c r="O47" s="93"/>
      <c r="P47" s="91"/>
    </row>
    <row r="48" spans="1:16" x14ac:dyDescent="0.2">
      <c r="A48" s="82">
        <f>IF(E48&gt;0,IF(E48&gt;0,1+MAX($A$14:A47),0),0)</f>
        <v>35</v>
      </c>
      <c r="B48" s="89"/>
      <c r="C48" s="90" t="s">
        <v>112</v>
      </c>
      <c r="D48" s="102" t="s">
        <v>102</v>
      </c>
      <c r="E48" s="198">
        <f>E40*0.3*0.2</f>
        <v>65.643599999999992</v>
      </c>
      <c r="F48" s="86"/>
      <c r="G48" s="87"/>
      <c r="H48" s="87"/>
      <c r="I48" s="87"/>
      <c r="J48" s="87"/>
      <c r="K48" s="91"/>
      <c r="L48" s="92"/>
      <c r="M48" s="93"/>
      <c r="N48" s="93"/>
      <c r="O48" s="93"/>
      <c r="P48" s="91"/>
    </row>
    <row r="49" spans="1:16" x14ac:dyDescent="0.2">
      <c r="A49" s="82">
        <f>IF(E49&gt;0,IF(E49&gt;0,1+MAX($A$14:A48),0),0)</f>
        <v>36</v>
      </c>
      <c r="B49" s="89"/>
      <c r="C49" s="90" t="s">
        <v>113</v>
      </c>
      <c r="D49" s="102" t="s">
        <v>102</v>
      </c>
      <c r="E49" s="198">
        <f>E40*0.3*3.3</f>
        <v>1083.1193999999998</v>
      </c>
      <c r="F49" s="86"/>
      <c r="G49" s="87"/>
      <c r="H49" s="87"/>
      <c r="I49" s="87"/>
      <c r="J49" s="87"/>
      <c r="K49" s="91"/>
      <c r="L49" s="92"/>
      <c r="M49" s="93"/>
      <c r="N49" s="93"/>
      <c r="O49" s="93"/>
      <c r="P49" s="91"/>
    </row>
    <row r="50" spans="1:16" x14ac:dyDescent="0.2">
      <c r="A50" s="82">
        <f t="shared" ref="A50:A51" si="8">IF(E50&gt;0,IF(E50&gt;0,1+MAX(A49),0),0)</f>
        <v>37</v>
      </c>
      <c r="B50" s="89"/>
      <c r="C50" s="94" t="s">
        <v>170</v>
      </c>
      <c r="D50" s="102" t="s">
        <v>65</v>
      </c>
      <c r="E50" s="198">
        <f>E40</f>
        <v>1094.06</v>
      </c>
      <c r="F50" s="86"/>
      <c r="G50" s="87"/>
      <c r="H50" s="87"/>
      <c r="I50" s="87"/>
      <c r="J50" s="87"/>
      <c r="K50" s="91"/>
      <c r="L50" s="92"/>
      <c r="M50" s="93"/>
      <c r="N50" s="93"/>
      <c r="O50" s="93"/>
      <c r="P50" s="91"/>
    </row>
    <row r="51" spans="1:16" x14ac:dyDescent="0.2">
      <c r="A51" s="82">
        <f t="shared" si="8"/>
        <v>38</v>
      </c>
      <c r="B51" s="89"/>
      <c r="C51" s="90" t="s">
        <v>171</v>
      </c>
      <c r="D51" s="102" t="s">
        <v>65</v>
      </c>
      <c r="E51" s="198">
        <f>E50*1.1</f>
        <v>1203.4660000000001</v>
      </c>
      <c r="F51" s="86"/>
      <c r="G51" s="87"/>
      <c r="H51" s="87"/>
      <c r="I51" s="87"/>
      <c r="J51" s="87"/>
      <c r="K51" s="91"/>
      <c r="L51" s="92"/>
      <c r="M51" s="93"/>
      <c r="N51" s="93"/>
      <c r="O51" s="93"/>
      <c r="P51" s="91"/>
    </row>
    <row r="52" spans="1:16" x14ac:dyDescent="0.2">
      <c r="A52" s="82">
        <f>IF(E52&gt;0,IF(E52&gt;0,1+MAX($A$14:A51),0),0)</f>
        <v>39</v>
      </c>
      <c r="B52" s="89"/>
      <c r="C52" s="94" t="s">
        <v>172</v>
      </c>
      <c r="D52" s="102" t="s">
        <v>65</v>
      </c>
      <c r="E52" s="198">
        <f>E39</f>
        <v>261</v>
      </c>
      <c r="F52" s="86"/>
      <c r="G52" s="87"/>
      <c r="H52" s="87"/>
      <c r="I52" s="87"/>
      <c r="J52" s="87"/>
      <c r="K52" s="91"/>
      <c r="L52" s="92"/>
      <c r="M52" s="93"/>
      <c r="N52" s="93"/>
      <c r="O52" s="93"/>
      <c r="P52" s="91"/>
    </row>
    <row r="53" spans="1:16" x14ac:dyDescent="0.2">
      <c r="A53" s="82">
        <f>IF(E53&gt;0,IF(E53&gt;0,1+MAX($A$14:A52),0),0)</f>
        <v>40</v>
      </c>
      <c r="B53" s="89"/>
      <c r="C53" s="90" t="s">
        <v>173</v>
      </c>
      <c r="D53" s="102" t="s">
        <v>65</v>
      </c>
      <c r="E53" s="198">
        <f>E52</f>
        <v>261</v>
      </c>
      <c r="F53" s="86"/>
      <c r="G53" s="87"/>
      <c r="H53" s="87"/>
      <c r="I53" s="87"/>
      <c r="J53" s="87"/>
      <c r="K53" s="91"/>
      <c r="L53" s="92"/>
      <c r="M53" s="93"/>
      <c r="N53" s="93"/>
      <c r="O53" s="93"/>
      <c r="P53" s="91"/>
    </row>
    <row r="54" spans="1:16" ht="22.5" x14ac:dyDescent="0.2">
      <c r="A54" s="82">
        <f t="shared" ref="A54:A55" si="9">IF(E54&gt;0,IF(E54&gt;0,1+MAX(A53),0),0)</f>
        <v>41</v>
      </c>
      <c r="B54" s="89"/>
      <c r="C54" s="94" t="s">
        <v>174</v>
      </c>
      <c r="D54" s="102" t="s">
        <v>75</v>
      </c>
      <c r="E54" s="198">
        <v>1</v>
      </c>
      <c r="F54" s="86"/>
      <c r="G54" s="87"/>
      <c r="H54" s="87"/>
      <c r="I54" s="87"/>
      <c r="J54" s="87"/>
      <c r="K54" s="91"/>
      <c r="L54" s="92"/>
      <c r="M54" s="93"/>
      <c r="N54" s="93"/>
      <c r="O54" s="93"/>
      <c r="P54" s="91"/>
    </row>
    <row r="55" spans="1:16" x14ac:dyDescent="0.2">
      <c r="A55" s="82">
        <f t="shared" si="9"/>
        <v>42</v>
      </c>
      <c r="B55" s="89"/>
      <c r="C55" s="90" t="s">
        <v>175</v>
      </c>
      <c r="D55" s="102" t="s">
        <v>75</v>
      </c>
      <c r="E55" s="198">
        <v>1</v>
      </c>
      <c r="F55" s="86"/>
      <c r="G55" s="87"/>
      <c r="H55" s="87"/>
      <c r="I55" s="87"/>
      <c r="J55" s="87"/>
      <c r="K55" s="91"/>
      <c r="L55" s="92"/>
      <c r="M55" s="93"/>
      <c r="N55" s="93"/>
      <c r="O55" s="93"/>
      <c r="P55" s="91"/>
    </row>
    <row r="56" spans="1:16" x14ac:dyDescent="0.2">
      <c r="A56" s="82">
        <f>IF(E56&gt;0,IF(E56&gt;0,1+MAX($A$14:A55),0),0)</f>
        <v>43</v>
      </c>
      <c r="B56" s="89"/>
      <c r="C56" s="94" t="s">
        <v>355</v>
      </c>
      <c r="D56" s="102" t="s">
        <v>73</v>
      </c>
      <c r="E56" s="198">
        <v>313.92</v>
      </c>
      <c r="F56" s="86"/>
      <c r="G56" s="87"/>
      <c r="H56" s="87"/>
      <c r="I56" s="87"/>
      <c r="J56" s="87"/>
      <c r="K56" s="91"/>
      <c r="L56" s="92"/>
      <c r="M56" s="93"/>
      <c r="N56" s="93"/>
      <c r="O56" s="93"/>
      <c r="P56" s="91"/>
    </row>
    <row r="57" spans="1:16" x14ac:dyDescent="0.2">
      <c r="A57" s="82">
        <f>IF(E57&gt;0,IF(E57&gt;0,1+MAX($A$14:A56),0),0)</f>
        <v>44</v>
      </c>
      <c r="B57" s="89"/>
      <c r="C57" s="90" t="s">
        <v>112</v>
      </c>
      <c r="D57" s="102" t="s">
        <v>102</v>
      </c>
      <c r="E57" s="198">
        <f>E56*0.2</f>
        <v>62.784000000000006</v>
      </c>
      <c r="F57" s="86"/>
      <c r="G57" s="87"/>
      <c r="H57" s="87"/>
      <c r="I57" s="87"/>
      <c r="J57" s="87"/>
      <c r="K57" s="91"/>
      <c r="L57" s="92"/>
      <c r="M57" s="93"/>
      <c r="N57" s="93"/>
      <c r="O57" s="93"/>
      <c r="P57" s="91"/>
    </row>
    <row r="58" spans="1:16" x14ac:dyDescent="0.2">
      <c r="A58" s="82">
        <f t="shared" ref="A58:A59" si="10">IF(E58&gt;0,IF(E58&gt;0,1+MAX(A57),0),0)</f>
        <v>45</v>
      </c>
      <c r="B58" s="89"/>
      <c r="C58" s="94" t="s">
        <v>176</v>
      </c>
      <c r="D58" s="102" t="s">
        <v>73</v>
      </c>
      <c r="E58" s="198">
        <f>E56</f>
        <v>313.92</v>
      </c>
      <c r="F58" s="86"/>
      <c r="G58" s="87"/>
      <c r="H58" s="87"/>
      <c r="I58" s="87"/>
      <c r="J58" s="87"/>
      <c r="K58" s="91"/>
      <c r="L58" s="92"/>
      <c r="M58" s="93"/>
      <c r="N58" s="93"/>
      <c r="O58" s="93"/>
      <c r="P58" s="91"/>
    </row>
    <row r="59" spans="1:16" x14ac:dyDescent="0.2">
      <c r="A59" s="82">
        <f t="shared" si="10"/>
        <v>46</v>
      </c>
      <c r="B59" s="89"/>
      <c r="C59" s="90" t="s">
        <v>177</v>
      </c>
      <c r="D59" s="102" t="s">
        <v>102</v>
      </c>
      <c r="E59" s="198">
        <f>E58*7</f>
        <v>2197.44</v>
      </c>
      <c r="F59" s="86"/>
      <c r="G59" s="87"/>
      <c r="H59" s="87"/>
      <c r="I59" s="87"/>
      <c r="J59" s="87"/>
      <c r="K59" s="91"/>
      <c r="L59" s="92"/>
      <c r="M59" s="93"/>
      <c r="N59" s="93"/>
      <c r="O59" s="93"/>
      <c r="P59" s="91"/>
    </row>
    <row r="60" spans="1:16" x14ac:dyDescent="0.2">
      <c r="A60" s="82">
        <f>IF(E60&gt;0,IF(E60&gt;0,1+MAX($A$14:A59),0),0)</f>
        <v>47</v>
      </c>
      <c r="B60" s="89"/>
      <c r="C60" s="206" t="s">
        <v>178</v>
      </c>
      <c r="D60" s="102" t="s">
        <v>73</v>
      </c>
      <c r="E60" s="198">
        <f>E58*1.15</f>
        <v>361.00799999999998</v>
      </c>
      <c r="F60" s="86"/>
      <c r="G60" s="87"/>
      <c r="H60" s="87"/>
      <c r="I60" s="87"/>
      <c r="J60" s="87"/>
      <c r="K60" s="91"/>
      <c r="L60" s="92"/>
      <c r="M60" s="93"/>
      <c r="N60" s="93"/>
      <c r="O60" s="93"/>
      <c r="P60" s="91"/>
    </row>
    <row r="61" spans="1:16" x14ac:dyDescent="0.2">
      <c r="A61" s="82">
        <f>IF(E61&gt;0,IF(E61&gt;0,1+MAX($A$14:A60),0),0)</f>
        <v>48</v>
      </c>
      <c r="B61" s="89"/>
      <c r="C61" s="206" t="s">
        <v>179</v>
      </c>
      <c r="D61" s="102" t="s">
        <v>75</v>
      </c>
      <c r="E61" s="198">
        <f>237.82*1.25</f>
        <v>297.27499999999998</v>
      </c>
      <c r="F61" s="86"/>
      <c r="G61" s="87"/>
      <c r="H61" s="87"/>
      <c r="I61" s="87"/>
      <c r="J61" s="87"/>
      <c r="K61" s="91"/>
      <c r="L61" s="92"/>
      <c r="M61" s="93"/>
      <c r="N61" s="93"/>
      <c r="O61" s="93"/>
      <c r="P61" s="91"/>
    </row>
    <row r="62" spans="1:16" x14ac:dyDescent="0.2">
      <c r="A62" s="82">
        <f t="shared" ref="A62:A63" si="11">IF(E62&gt;0,IF(E62&gt;0,1+MAX(A61),0),0)</f>
        <v>49</v>
      </c>
      <c r="B62" s="89"/>
      <c r="C62" s="94" t="s">
        <v>180</v>
      </c>
      <c r="D62" s="102" t="s">
        <v>73</v>
      </c>
      <c r="E62" s="198">
        <f>E58</f>
        <v>313.92</v>
      </c>
      <c r="F62" s="86"/>
      <c r="G62" s="87"/>
      <c r="H62" s="87"/>
      <c r="I62" s="87"/>
      <c r="J62" s="87"/>
      <c r="K62" s="91"/>
      <c r="L62" s="92"/>
      <c r="M62" s="93"/>
      <c r="N62" s="93"/>
      <c r="O62" s="93"/>
      <c r="P62" s="91"/>
    </row>
    <row r="63" spans="1:16" x14ac:dyDescent="0.2">
      <c r="A63" s="82">
        <f t="shared" si="11"/>
        <v>50</v>
      </c>
      <c r="B63" s="89"/>
      <c r="C63" s="90" t="s">
        <v>112</v>
      </c>
      <c r="D63" s="102" t="s">
        <v>102</v>
      </c>
      <c r="E63" s="198">
        <f>E62*0.2</f>
        <v>62.784000000000006</v>
      </c>
      <c r="F63" s="86"/>
      <c r="G63" s="87"/>
      <c r="H63" s="87"/>
      <c r="I63" s="87"/>
      <c r="J63" s="87"/>
      <c r="K63" s="91"/>
      <c r="L63" s="92"/>
      <c r="M63" s="93"/>
      <c r="N63" s="93"/>
      <c r="O63" s="93"/>
      <c r="P63" s="91"/>
    </row>
    <row r="64" spans="1:16" x14ac:dyDescent="0.2">
      <c r="A64" s="82">
        <f>IF(E64&gt;0,IF(E64&gt;0,1+MAX($A$14:A63),0),0)</f>
        <v>51</v>
      </c>
      <c r="B64" s="89"/>
      <c r="C64" s="90" t="s">
        <v>113</v>
      </c>
      <c r="D64" s="102" t="s">
        <v>102</v>
      </c>
      <c r="E64" s="198">
        <f>E62*3.3</f>
        <v>1035.9359999999999</v>
      </c>
      <c r="F64" s="86"/>
      <c r="G64" s="87"/>
      <c r="H64" s="87"/>
      <c r="I64" s="87"/>
      <c r="J64" s="87"/>
      <c r="K64" s="91"/>
      <c r="L64" s="92"/>
      <c r="M64" s="93"/>
      <c r="N64" s="93"/>
      <c r="O64" s="93"/>
      <c r="P64" s="91"/>
    </row>
    <row r="65" spans="1:16" x14ac:dyDescent="0.2">
      <c r="A65" s="82">
        <f>IF(E65&gt;0,IF(E65&gt;0,1+MAX($A$14:A64),0),0)</f>
        <v>52</v>
      </c>
      <c r="B65" s="89"/>
      <c r="C65" s="94" t="s">
        <v>356</v>
      </c>
      <c r="D65" s="102" t="s">
        <v>73</v>
      </c>
      <c r="E65" s="198">
        <v>313.92</v>
      </c>
      <c r="F65" s="86"/>
      <c r="G65" s="87"/>
      <c r="H65" s="87"/>
      <c r="I65" s="87"/>
      <c r="J65" s="87"/>
      <c r="K65" s="91"/>
      <c r="L65" s="92"/>
      <c r="M65" s="93"/>
      <c r="N65" s="93"/>
      <c r="O65" s="93"/>
      <c r="P65" s="91"/>
    </row>
    <row r="66" spans="1:16" x14ac:dyDescent="0.2">
      <c r="A66" s="82">
        <f t="shared" ref="A66:A67" si="12">IF(E66&gt;0,IF(E66&gt;0,1+MAX(A65),0),0)</f>
        <v>53</v>
      </c>
      <c r="B66" s="89"/>
      <c r="C66" s="90" t="s">
        <v>112</v>
      </c>
      <c r="D66" s="102" t="s">
        <v>102</v>
      </c>
      <c r="E66" s="198">
        <f>E65*0.2</f>
        <v>62.784000000000006</v>
      </c>
      <c r="F66" s="86"/>
      <c r="G66" s="87"/>
      <c r="H66" s="87"/>
      <c r="I66" s="87"/>
      <c r="J66" s="87"/>
      <c r="K66" s="91"/>
      <c r="L66" s="92"/>
      <c r="M66" s="93"/>
      <c r="N66" s="93"/>
      <c r="O66" s="93"/>
      <c r="P66" s="91"/>
    </row>
    <row r="67" spans="1:16" x14ac:dyDescent="0.2">
      <c r="A67" s="82">
        <f t="shared" si="12"/>
        <v>54</v>
      </c>
      <c r="B67" s="89"/>
      <c r="C67" s="94" t="s">
        <v>358</v>
      </c>
      <c r="D67" s="102" t="s">
        <v>73</v>
      </c>
      <c r="E67" s="198">
        <v>313.92</v>
      </c>
      <c r="F67" s="86"/>
      <c r="G67" s="87"/>
      <c r="H67" s="87"/>
      <c r="I67" s="87"/>
      <c r="J67" s="87"/>
      <c r="K67" s="91"/>
      <c r="L67" s="92"/>
      <c r="M67" s="93"/>
      <c r="N67" s="93"/>
      <c r="O67" s="93"/>
      <c r="P67" s="91"/>
    </row>
    <row r="68" spans="1:16" x14ac:dyDescent="0.2">
      <c r="A68" s="82">
        <f>IF(E68&gt;0,IF(E68&gt;0,1+MAX($A$14:A67),0),0)</f>
        <v>55</v>
      </c>
      <c r="B68" s="89"/>
      <c r="C68" s="90" t="s">
        <v>357</v>
      </c>
      <c r="D68" s="102" t="s">
        <v>359</v>
      </c>
      <c r="E68" s="198">
        <f>E67*0.25*2</f>
        <v>156.96</v>
      </c>
      <c r="F68" s="86"/>
      <c r="G68" s="87"/>
      <c r="H68" s="87"/>
      <c r="I68" s="87"/>
      <c r="J68" s="87"/>
      <c r="K68" s="91"/>
      <c r="L68" s="92"/>
      <c r="M68" s="93"/>
      <c r="N68" s="93"/>
      <c r="O68" s="93"/>
      <c r="P68" s="91"/>
    </row>
    <row r="69" spans="1:16" x14ac:dyDescent="0.2">
      <c r="A69" s="82">
        <f>IF(E69&gt;0,IF(E69&gt;0,1+MAX($A$14:A68),0),0)</f>
        <v>56</v>
      </c>
      <c r="B69" s="89"/>
      <c r="C69" s="111" t="s">
        <v>181</v>
      </c>
      <c r="D69" s="83" t="s">
        <v>65</v>
      </c>
      <c r="E69" s="198">
        <v>237.82</v>
      </c>
      <c r="F69" s="86"/>
      <c r="G69" s="87"/>
      <c r="H69" s="87"/>
      <c r="I69" s="87"/>
      <c r="J69" s="87"/>
      <c r="K69" s="91"/>
      <c r="L69" s="92"/>
      <c r="M69" s="93"/>
      <c r="N69" s="93"/>
      <c r="O69" s="93"/>
      <c r="P69" s="91"/>
    </row>
    <row r="70" spans="1:16" x14ac:dyDescent="0.2">
      <c r="A70" s="82">
        <f t="shared" ref="A70:A71" si="13">IF(E70&gt;0,IF(E70&gt;0,1+MAX(A69),0),0)</f>
        <v>57</v>
      </c>
      <c r="B70" s="89"/>
      <c r="C70" s="112" t="s">
        <v>182</v>
      </c>
      <c r="D70" s="113" t="s">
        <v>65</v>
      </c>
      <c r="E70" s="199">
        <f>E69*1.1</f>
        <v>261.60200000000003</v>
      </c>
      <c r="F70" s="86"/>
      <c r="G70" s="87"/>
      <c r="H70" s="87"/>
      <c r="I70" s="87"/>
      <c r="J70" s="87"/>
      <c r="K70" s="91"/>
      <c r="L70" s="92"/>
      <c r="M70" s="93"/>
      <c r="N70" s="93"/>
      <c r="O70" s="93"/>
      <c r="P70" s="91"/>
    </row>
    <row r="71" spans="1:16" x14ac:dyDescent="0.2">
      <c r="A71" s="82">
        <f t="shared" si="13"/>
        <v>58</v>
      </c>
      <c r="B71" s="89"/>
      <c r="C71" s="84" t="s">
        <v>183</v>
      </c>
      <c r="D71" s="102" t="s">
        <v>65</v>
      </c>
      <c r="E71" s="194">
        <f>E69</f>
        <v>237.82</v>
      </c>
      <c r="F71" s="86"/>
      <c r="G71" s="87"/>
      <c r="H71" s="87"/>
      <c r="I71" s="87"/>
      <c r="J71" s="87"/>
      <c r="K71" s="91"/>
      <c r="L71" s="92"/>
      <c r="M71" s="93"/>
      <c r="N71" s="93"/>
      <c r="O71" s="93"/>
      <c r="P71" s="91"/>
    </row>
    <row r="72" spans="1:16" x14ac:dyDescent="0.2">
      <c r="A72" s="82">
        <f>IF(E72&gt;0,IF(E72&gt;0,1+MAX($A$14:A71),0),0)</f>
        <v>59</v>
      </c>
      <c r="B72" s="89"/>
      <c r="C72" s="112" t="s">
        <v>184</v>
      </c>
      <c r="D72" s="113" t="s">
        <v>65</v>
      </c>
      <c r="E72" s="199">
        <f>E71*1.1</f>
        <v>261.60200000000003</v>
      </c>
      <c r="F72" s="86"/>
      <c r="G72" s="87"/>
      <c r="H72" s="87"/>
      <c r="I72" s="87"/>
      <c r="J72" s="87"/>
      <c r="K72" s="91"/>
      <c r="L72" s="92"/>
      <c r="M72" s="93"/>
      <c r="N72" s="93"/>
      <c r="O72" s="93"/>
      <c r="P72" s="91"/>
    </row>
    <row r="73" spans="1:16" x14ac:dyDescent="0.2">
      <c r="A73" s="82">
        <f>IF(E73&gt;0,IF(E73&gt;0,1+MAX($A$14:A72),0),0)</f>
        <v>60</v>
      </c>
      <c r="B73" s="89"/>
      <c r="C73" s="94" t="s">
        <v>352</v>
      </c>
      <c r="D73" s="102" t="s">
        <v>73</v>
      </c>
      <c r="E73" s="198">
        <v>465.71</v>
      </c>
      <c r="F73" s="86"/>
      <c r="G73" s="87"/>
      <c r="H73" s="87"/>
      <c r="I73" s="87"/>
      <c r="J73" s="87"/>
      <c r="K73" s="91"/>
      <c r="L73" s="92"/>
      <c r="M73" s="93"/>
      <c r="N73" s="93"/>
      <c r="O73" s="93"/>
      <c r="P73" s="91"/>
    </row>
    <row r="74" spans="1:16" x14ac:dyDescent="0.2">
      <c r="A74" s="82">
        <f t="shared" ref="A74:A75" si="14">IF(E74&gt;0,IF(E74&gt;0,1+MAX(A73),0),0)</f>
        <v>61</v>
      </c>
      <c r="B74" s="89"/>
      <c r="C74" s="90" t="s">
        <v>112</v>
      </c>
      <c r="D74" s="102" t="s">
        <v>102</v>
      </c>
      <c r="E74" s="198">
        <f>E73*0.2</f>
        <v>93.141999999999996</v>
      </c>
      <c r="F74" s="86"/>
      <c r="G74" s="87"/>
      <c r="H74" s="87"/>
      <c r="I74" s="87"/>
      <c r="J74" s="87"/>
      <c r="K74" s="91"/>
      <c r="L74" s="92"/>
      <c r="M74" s="93"/>
      <c r="N74" s="93"/>
      <c r="O74" s="93"/>
      <c r="P74" s="91"/>
    </row>
    <row r="75" spans="1:16" x14ac:dyDescent="0.2">
      <c r="A75" s="82">
        <f t="shared" si="14"/>
        <v>62</v>
      </c>
      <c r="B75" s="89"/>
      <c r="C75" s="94" t="s">
        <v>185</v>
      </c>
      <c r="D75" s="102" t="s">
        <v>73</v>
      </c>
      <c r="E75" s="198">
        <f>E73</f>
        <v>465.71</v>
      </c>
      <c r="F75" s="86"/>
      <c r="G75" s="87"/>
      <c r="H75" s="87"/>
      <c r="I75" s="87"/>
      <c r="J75" s="87"/>
      <c r="K75" s="91"/>
      <c r="L75" s="92"/>
      <c r="M75" s="93"/>
      <c r="N75" s="93"/>
      <c r="O75" s="93"/>
      <c r="P75" s="91"/>
    </row>
    <row r="76" spans="1:16" x14ac:dyDescent="0.2">
      <c r="A76" s="82">
        <f>IF(E76&gt;0,IF(E76&gt;0,1+MAX($A$14:A75),0),0)</f>
        <v>63</v>
      </c>
      <c r="B76" s="89"/>
      <c r="C76" s="94" t="s">
        <v>186</v>
      </c>
      <c r="D76" s="102" t="s">
        <v>73</v>
      </c>
      <c r="E76" s="198">
        <f>E75</f>
        <v>465.71</v>
      </c>
      <c r="F76" s="86"/>
      <c r="G76" s="87"/>
      <c r="H76" s="87"/>
      <c r="I76" s="87"/>
      <c r="J76" s="87"/>
      <c r="K76" s="91"/>
      <c r="L76" s="92"/>
      <c r="M76" s="93"/>
      <c r="N76" s="93"/>
      <c r="O76" s="93"/>
      <c r="P76" s="91"/>
    </row>
    <row r="77" spans="1:16" x14ac:dyDescent="0.2">
      <c r="A77" s="82">
        <f>IF(E77&gt;0,IF(E77&gt;0,1+MAX($A$14:A76),0),0)</f>
        <v>64</v>
      </c>
      <c r="B77" s="89"/>
      <c r="C77" s="94" t="s">
        <v>187</v>
      </c>
      <c r="D77" s="102" t="s">
        <v>73</v>
      </c>
      <c r="E77" s="198">
        <v>349.28</v>
      </c>
      <c r="F77" s="86"/>
      <c r="G77" s="87"/>
      <c r="H77" s="87"/>
      <c r="I77" s="87"/>
      <c r="J77" s="87"/>
      <c r="K77" s="91"/>
      <c r="L77" s="92"/>
      <c r="M77" s="93"/>
      <c r="N77" s="93"/>
      <c r="O77" s="93"/>
      <c r="P77" s="91"/>
    </row>
    <row r="78" spans="1:16" x14ac:dyDescent="0.2">
      <c r="A78" s="82">
        <f t="shared" ref="A78:A79" si="15">IF(E78&gt;0,IF(E78&gt;0,1+MAX(A77),0),0)</f>
        <v>65</v>
      </c>
      <c r="B78" s="89"/>
      <c r="C78" s="90" t="s">
        <v>177</v>
      </c>
      <c r="D78" s="102" t="s">
        <v>102</v>
      </c>
      <c r="E78" s="198">
        <f>E77*7</f>
        <v>2444.96</v>
      </c>
      <c r="F78" s="86"/>
      <c r="G78" s="87"/>
      <c r="H78" s="87"/>
      <c r="I78" s="87"/>
      <c r="J78" s="87"/>
      <c r="K78" s="91"/>
      <c r="L78" s="92"/>
      <c r="M78" s="93"/>
      <c r="N78" s="93"/>
      <c r="O78" s="93"/>
      <c r="P78" s="91"/>
    </row>
    <row r="79" spans="1:16" x14ac:dyDescent="0.2">
      <c r="A79" s="82">
        <f t="shared" si="15"/>
        <v>66</v>
      </c>
      <c r="B79" s="89"/>
      <c r="C79" s="206" t="s">
        <v>178</v>
      </c>
      <c r="D79" s="102" t="s">
        <v>73</v>
      </c>
      <c r="E79" s="198">
        <f>E77*1.15</f>
        <v>401.67199999999991</v>
      </c>
      <c r="F79" s="86"/>
      <c r="G79" s="87"/>
      <c r="H79" s="87"/>
      <c r="I79" s="87"/>
      <c r="J79" s="87"/>
      <c r="K79" s="91"/>
      <c r="L79" s="92"/>
      <c r="M79" s="93"/>
      <c r="N79" s="93"/>
      <c r="O79" s="93"/>
      <c r="P79" s="91"/>
    </row>
    <row r="80" spans="1:16" x14ac:dyDescent="0.2">
      <c r="A80" s="82">
        <f>IF(E80&gt;0,IF(E80&gt;0,1+MAX($A$14:A79),0),0)</f>
        <v>67</v>
      </c>
      <c r="B80" s="89"/>
      <c r="C80" s="206" t="s">
        <v>179</v>
      </c>
      <c r="D80" s="102" t="s">
        <v>75</v>
      </c>
      <c r="E80" s="198">
        <f>291.07*2*1.15</f>
        <v>669.4609999999999</v>
      </c>
      <c r="F80" s="86"/>
      <c r="G80" s="87"/>
      <c r="H80" s="87"/>
      <c r="I80" s="87"/>
      <c r="J80" s="87"/>
      <c r="K80" s="91"/>
      <c r="L80" s="92"/>
      <c r="M80" s="93"/>
      <c r="N80" s="93"/>
      <c r="O80" s="93"/>
      <c r="P80" s="91"/>
    </row>
    <row r="81" spans="1:16" x14ac:dyDescent="0.2">
      <c r="A81" s="82">
        <f>IF(E81&gt;0,IF(E81&gt;0,1+MAX($A$14:A80),0),0)</f>
        <v>68</v>
      </c>
      <c r="B81" s="89"/>
      <c r="C81" s="94" t="s">
        <v>180</v>
      </c>
      <c r="D81" s="102" t="s">
        <v>73</v>
      </c>
      <c r="E81" s="198">
        <f>E77</f>
        <v>349.28</v>
      </c>
      <c r="F81" s="86"/>
      <c r="G81" s="87"/>
      <c r="H81" s="87"/>
      <c r="I81" s="87"/>
      <c r="J81" s="87"/>
      <c r="K81" s="91"/>
      <c r="L81" s="92"/>
      <c r="M81" s="93"/>
      <c r="N81" s="93"/>
      <c r="O81" s="93"/>
      <c r="P81" s="91"/>
    </row>
    <row r="82" spans="1:16" x14ac:dyDescent="0.2">
      <c r="A82" s="82">
        <f t="shared" ref="A82:A83" si="16">IF(E82&gt;0,IF(E82&gt;0,1+MAX(A81),0),0)</f>
        <v>69</v>
      </c>
      <c r="B82" s="89"/>
      <c r="C82" s="90" t="s">
        <v>112</v>
      </c>
      <c r="D82" s="102" t="s">
        <v>102</v>
      </c>
      <c r="E82" s="198">
        <f>E81*0.2</f>
        <v>69.855999999999995</v>
      </c>
      <c r="F82" s="86"/>
      <c r="G82" s="87"/>
      <c r="H82" s="87"/>
      <c r="I82" s="87"/>
      <c r="J82" s="87"/>
      <c r="K82" s="91"/>
      <c r="L82" s="92"/>
      <c r="M82" s="93"/>
      <c r="N82" s="93"/>
      <c r="O82" s="93"/>
      <c r="P82" s="91"/>
    </row>
    <row r="83" spans="1:16" x14ac:dyDescent="0.2">
      <c r="A83" s="82">
        <f t="shared" si="16"/>
        <v>70</v>
      </c>
      <c r="B83" s="89"/>
      <c r="C83" s="90" t="s">
        <v>113</v>
      </c>
      <c r="D83" s="102" t="s">
        <v>102</v>
      </c>
      <c r="E83" s="198">
        <f>E81*3.3</f>
        <v>1152.6239999999998</v>
      </c>
      <c r="F83" s="86"/>
      <c r="G83" s="87"/>
      <c r="H83" s="87"/>
      <c r="I83" s="87"/>
      <c r="J83" s="87"/>
      <c r="K83" s="91"/>
      <c r="L83" s="92"/>
      <c r="M83" s="93"/>
      <c r="N83" s="93"/>
      <c r="O83" s="93"/>
      <c r="P83" s="91"/>
    </row>
    <row r="84" spans="1:16" ht="22.5" x14ac:dyDescent="0.2">
      <c r="A84" s="82">
        <f>IF(E84&gt;0,IF(E84&gt;0,1+MAX($A$14:A83),0),0)</f>
        <v>71</v>
      </c>
      <c r="B84" s="89"/>
      <c r="C84" s="94" t="s">
        <v>188</v>
      </c>
      <c r="D84" s="102" t="s">
        <v>65</v>
      </c>
      <c r="E84" s="198">
        <v>285.82</v>
      </c>
      <c r="F84" s="86"/>
      <c r="G84" s="87"/>
      <c r="H84" s="87"/>
      <c r="I84" s="87"/>
      <c r="J84" s="87"/>
      <c r="K84" s="91"/>
      <c r="L84" s="92"/>
      <c r="M84" s="93"/>
      <c r="N84" s="93"/>
      <c r="O84" s="93"/>
      <c r="P84" s="91"/>
    </row>
    <row r="85" spans="1:16" x14ac:dyDescent="0.2">
      <c r="A85" s="82">
        <f>IF(E85&gt;0,IF(E85&gt;0,1+MAX($A$14:A84),0),0)</f>
        <v>72</v>
      </c>
      <c r="B85" s="89"/>
      <c r="C85" s="90" t="s">
        <v>189</v>
      </c>
      <c r="D85" s="102" t="s">
        <v>190</v>
      </c>
      <c r="E85" s="198">
        <v>29</v>
      </c>
      <c r="F85" s="86"/>
      <c r="G85" s="87"/>
      <c r="H85" s="87"/>
      <c r="I85" s="87"/>
      <c r="J85" s="87"/>
      <c r="K85" s="91"/>
      <c r="L85" s="92"/>
      <c r="M85" s="93"/>
      <c r="N85" s="93"/>
      <c r="O85" s="93"/>
      <c r="P85" s="91"/>
    </row>
    <row r="86" spans="1:16" ht="22.5" x14ac:dyDescent="0.2">
      <c r="A86" s="82">
        <f t="shared" ref="A86:A87" si="17">IF(E86&gt;0,IF(E86&gt;0,1+MAX(A85),0),0)</f>
        <v>73</v>
      </c>
      <c r="B86" s="89"/>
      <c r="C86" s="94" t="s">
        <v>191</v>
      </c>
      <c r="D86" s="102" t="s">
        <v>73</v>
      </c>
      <c r="E86" s="198">
        <v>285.38</v>
      </c>
      <c r="F86" s="86"/>
      <c r="G86" s="87"/>
      <c r="H86" s="87"/>
      <c r="I86" s="87"/>
      <c r="J86" s="87"/>
      <c r="K86" s="91"/>
      <c r="L86" s="92"/>
      <c r="M86" s="93"/>
      <c r="N86" s="93"/>
      <c r="O86" s="93"/>
      <c r="P86" s="91"/>
    </row>
    <row r="87" spans="1:16" x14ac:dyDescent="0.2">
      <c r="A87" s="82">
        <f t="shared" si="17"/>
        <v>74</v>
      </c>
      <c r="B87" s="89"/>
      <c r="C87" s="94" t="s">
        <v>192</v>
      </c>
      <c r="D87" s="102" t="s">
        <v>73</v>
      </c>
      <c r="E87" s="198">
        <f>E86</f>
        <v>285.38</v>
      </c>
      <c r="F87" s="86"/>
      <c r="G87" s="87"/>
      <c r="H87" s="87"/>
      <c r="I87" s="87"/>
      <c r="J87" s="87"/>
      <c r="K87" s="91"/>
      <c r="L87" s="92"/>
      <c r="M87" s="93"/>
      <c r="N87" s="93"/>
      <c r="O87" s="93"/>
      <c r="P87" s="91"/>
    </row>
    <row r="88" spans="1:16" x14ac:dyDescent="0.2">
      <c r="A88" s="82">
        <f>IF(E88&gt;0,IF(E88&gt;0,1+MAX($A$14:A87),0),0)</f>
        <v>75</v>
      </c>
      <c r="B88" s="89"/>
      <c r="C88" s="90" t="s">
        <v>149</v>
      </c>
      <c r="D88" s="102" t="s">
        <v>83</v>
      </c>
      <c r="E88" s="198">
        <f>E87*0.045*1.25</f>
        <v>16.052624999999999</v>
      </c>
      <c r="F88" s="86"/>
      <c r="G88" s="87"/>
      <c r="H88" s="87"/>
      <c r="I88" s="87"/>
      <c r="J88" s="87"/>
      <c r="K88" s="91"/>
      <c r="L88" s="92"/>
      <c r="M88" s="93"/>
      <c r="N88" s="93"/>
      <c r="O88" s="93"/>
      <c r="P88" s="91"/>
    </row>
    <row r="89" spans="1:16" x14ac:dyDescent="0.2">
      <c r="A89" s="82">
        <f>IF(E89&gt;0,IF(E89&gt;0,1+MAX($A$14:A88),0),0)</f>
        <v>76</v>
      </c>
      <c r="B89" s="89"/>
      <c r="C89" s="94" t="s">
        <v>193</v>
      </c>
      <c r="D89" s="102" t="s">
        <v>73</v>
      </c>
      <c r="E89" s="198">
        <f>E87</f>
        <v>285.38</v>
      </c>
      <c r="F89" s="86"/>
      <c r="G89" s="87"/>
      <c r="H89" s="87"/>
      <c r="I89" s="87"/>
      <c r="J89" s="87"/>
      <c r="K89" s="91"/>
      <c r="L89" s="92"/>
      <c r="M89" s="93"/>
      <c r="N89" s="93"/>
      <c r="O89" s="93"/>
      <c r="P89" s="91"/>
    </row>
    <row r="90" spans="1:16" ht="12" thickBot="1" x14ac:dyDescent="0.25">
      <c r="A90" s="82">
        <f t="shared" ref="A90" si="18">IF(E90&gt;0,IF(E90&gt;0,1+MAX(A89),0),0)</f>
        <v>77</v>
      </c>
      <c r="B90" s="89"/>
      <c r="C90" s="90" t="s">
        <v>194</v>
      </c>
      <c r="D90" s="102" t="s">
        <v>73</v>
      </c>
      <c r="E90" s="198">
        <f>E89</f>
        <v>285.38</v>
      </c>
      <c r="F90" s="86"/>
      <c r="G90" s="87"/>
      <c r="H90" s="87"/>
      <c r="I90" s="87"/>
      <c r="J90" s="87"/>
      <c r="K90" s="91"/>
      <c r="L90" s="92"/>
      <c r="M90" s="93"/>
      <c r="N90" s="93"/>
      <c r="O90" s="93"/>
      <c r="P90" s="91"/>
    </row>
    <row r="91" spans="1:16" ht="12" customHeight="1" thickBot="1" x14ac:dyDescent="0.25">
      <c r="A91" s="286" t="s">
        <v>278</v>
      </c>
      <c r="B91" s="287"/>
      <c r="C91" s="287"/>
      <c r="D91" s="287"/>
      <c r="E91" s="287"/>
      <c r="F91" s="287"/>
      <c r="G91" s="287"/>
      <c r="H91" s="287"/>
      <c r="I91" s="287"/>
      <c r="J91" s="287"/>
      <c r="K91" s="288"/>
      <c r="L91" s="95">
        <f>SUM(L14:L90)</f>
        <v>0</v>
      </c>
      <c r="M91" s="96">
        <f>SUM(M14:M90)</f>
        <v>0</v>
      </c>
      <c r="N91" s="96">
        <f>SUM(N14:N90)</f>
        <v>0</v>
      </c>
      <c r="O91" s="96">
        <f>SUM(O14:O90)</f>
        <v>0</v>
      </c>
      <c r="P91" s="97">
        <f>SUM(P14:P90)</f>
        <v>0</v>
      </c>
    </row>
    <row r="92" spans="1:16" x14ac:dyDescent="0.2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</row>
    <row r="93" spans="1:16" x14ac:dyDescent="0.2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</row>
    <row r="94" spans="1:16" x14ac:dyDescent="0.2">
      <c r="A94" s="39" t="s">
        <v>14</v>
      </c>
      <c r="B94" s="64"/>
      <c r="C94" s="285" t="str">
        <f>'Kops a'!C33:H33</f>
        <v>Armands Ūbelis</v>
      </c>
      <c r="D94" s="285"/>
      <c r="E94" s="285"/>
      <c r="F94" s="285"/>
      <c r="G94" s="285"/>
      <c r="H94" s="285"/>
      <c r="I94" s="64"/>
      <c r="J94" s="64"/>
      <c r="K94" s="64"/>
      <c r="L94" s="64"/>
      <c r="M94" s="64"/>
      <c r="N94" s="64"/>
      <c r="O94" s="64"/>
      <c r="P94" s="64"/>
    </row>
    <row r="95" spans="1:16" x14ac:dyDescent="0.2">
      <c r="A95" s="64"/>
      <c r="B95" s="64"/>
      <c r="C95" s="222" t="s">
        <v>15</v>
      </c>
      <c r="D95" s="222"/>
      <c r="E95" s="222"/>
      <c r="F95" s="222"/>
      <c r="G95" s="222"/>
      <c r="H95" s="222"/>
      <c r="I95" s="64"/>
      <c r="J95" s="64"/>
      <c r="K95" s="64"/>
      <c r="L95" s="64"/>
      <c r="M95" s="64"/>
      <c r="N95" s="64"/>
      <c r="O95" s="64"/>
      <c r="P95" s="64"/>
    </row>
    <row r="96" spans="1:16" x14ac:dyDescent="0.2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</row>
    <row r="97" spans="1:16" x14ac:dyDescent="0.2">
      <c r="A97" s="98" t="str">
        <f>'Kops a'!A36</f>
        <v>Tāme sastādīta 2021. gada 13. maijā</v>
      </c>
      <c r="B97" s="99"/>
      <c r="C97" s="99"/>
      <c r="D97" s="99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</row>
    <row r="98" spans="1:16" x14ac:dyDescent="0.2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</row>
    <row r="99" spans="1:16" x14ac:dyDescent="0.2">
      <c r="A99" s="39" t="s">
        <v>37</v>
      </c>
      <c r="B99" s="64"/>
      <c r="C99" s="285" t="str">
        <f>'Kops a'!C38:H38</f>
        <v xml:space="preserve"> </v>
      </c>
      <c r="D99" s="285"/>
      <c r="E99" s="285"/>
      <c r="F99" s="285"/>
      <c r="G99" s="285"/>
      <c r="H99" s="285"/>
      <c r="I99" s="64"/>
      <c r="J99" s="64"/>
      <c r="K99" s="64"/>
      <c r="L99" s="64"/>
      <c r="M99" s="64"/>
      <c r="N99" s="64"/>
      <c r="O99" s="64"/>
      <c r="P99" s="64"/>
    </row>
    <row r="100" spans="1:16" x14ac:dyDescent="0.2">
      <c r="A100" s="64"/>
      <c r="B100" s="64"/>
      <c r="C100" s="222" t="s">
        <v>15</v>
      </c>
      <c r="D100" s="222"/>
      <c r="E100" s="222"/>
      <c r="F100" s="222"/>
      <c r="G100" s="222"/>
      <c r="H100" s="222"/>
      <c r="I100" s="64"/>
      <c r="J100" s="64"/>
      <c r="K100" s="64"/>
      <c r="L100" s="64"/>
      <c r="M100" s="64"/>
      <c r="N100" s="64"/>
      <c r="O100" s="64"/>
      <c r="P100" s="64"/>
    </row>
    <row r="101" spans="1:16" x14ac:dyDescent="0.2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</row>
    <row r="102" spans="1:16" x14ac:dyDescent="0.2">
      <c r="A102" s="98" t="s">
        <v>54</v>
      </c>
      <c r="B102" s="99"/>
      <c r="C102" s="100" t="str">
        <f>'Kops a'!C41</f>
        <v>4-02608</v>
      </c>
      <c r="D102" s="101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</row>
    <row r="103" spans="1:16" x14ac:dyDescent="0.2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</row>
  </sheetData>
  <mergeCells count="22">
    <mergeCell ref="C100:H100"/>
    <mergeCell ref="C4:I4"/>
    <mergeCell ref="F12:K12"/>
    <mergeCell ref="A9:F9"/>
    <mergeCell ref="J9:M9"/>
    <mergeCell ref="D8:L8"/>
    <mergeCell ref="A91:K91"/>
    <mergeCell ref="C94:H94"/>
    <mergeCell ref="C95:H95"/>
    <mergeCell ref="C99:H99"/>
    <mergeCell ref="A12:A13"/>
    <mergeCell ref="B12:B13"/>
    <mergeCell ref="C12:C13"/>
    <mergeCell ref="D12:D13"/>
    <mergeCell ref="E12:E13"/>
    <mergeCell ref="N9:O9"/>
    <mergeCell ref="L12:P12"/>
    <mergeCell ref="C2:I2"/>
    <mergeCell ref="C3:I3"/>
    <mergeCell ref="D5:L5"/>
    <mergeCell ref="D6:L6"/>
    <mergeCell ref="D7:L7"/>
  </mergeCells>
  <conditionalFormatting sqref="D48:E64 B48:B64 B69:G90 I69:J90 B15:G46 I15:J46 A14:A90">
    <cfRule type="cellIs" dxfId="121" priority="52" operator="equal">
      <formula>0</formula>
    </cfRule>
  </conditionalFormatting>
  <conditionalFormatting sqref="N9:O9 K69:P90 H69:H90 H15:H46 K14:P46">
    <cfRule type="cellIs" dxfId="120" priority="51" operator="equal">
      <formula>0</formula>
    </cfRule>
  </conditionalFormatting>
  <conditionalFormatting sqref="C2:I2">
    <cfRule type="cellIs" dxfId="119" priority="48" operator="equal">
      <formula>0</formula>
    </cfRule>
  </conditionalFormatting>
  <conditionalFormatting sqref="O10">
    <cfRule type="cellIs" dxfId="118" priority="47" operator="equal">
      <formula>"20__. gada __. _________"</formula>
    </cfRule>
  </conditionalFormatting>
  <conditionalFormatting sqref="L91:P91 K48:P64">
    <cfRule type="cellIs" dxfId="117" priority="41" operator="equal">
      <formula>0</formula>
    </cfRule>
  </conditionalFormatting>
  <conditionalFormatting sqref="C4:I4">
    <cfRule type="cellIs" dxfId="116" priority="40" operator="equal">
      <formula>0</formula>
    </cfRule>
  </conditionalFormatting>
  <conditionalFormatting sqref="C48:C64">
    <cfRule type="cellIs" dxfId="115" priority="39" operator="equal">
      <formula>0</formula>
    </cfRule>
  </conditionalFormatting>
  <conditionalFormatting sqref="D5:L8">
    <cfRule type="cellIs" dxfId="114" priority="37" operator="equal">
      <formula>0</formula>
    </cfRule>
  </conditionalFormatting>
  <conditionalFormatting sqref="B14 D14:E14">
    <cfRule type="cellIs" dxfId="113" priority="36" operator="equal">
      <formula>0</formula>
    </cfRule>
  </conditionalFormatting>
  <conditionalFormatting sqref="C14">
    <cfRule type="cellIs" dxfId="112" priority="35" operator="equal">
      <formula>0</formula>
    </cfRule>
  </conditionalFormatting>
  <conditionalFormatting sqref="P10">
    <cfRule type="cellIs" dxfId="111" priority="33" operator="equal">
      <formula>"20__. gada __. _________"</formula>
    </cfRule>
  </conditionalFormatting>
  <conditionalFormatting sqref="C99:H99">
    <cfRule type="cellIs" dxfId="110" priority="30" operator="equal">
      <formula>0</formula>
    </cfRule>
  </conditionalFormatting>
  <conditionalFormatting sqref="C94:H94">
    <cfRule type="cellIs" dxfId="109" priority="29" operator="equal">
      <formula>0</formula>
    </cfRule>
  </conditionalFormatting>
  <conditionalFormatting sqref="C99:H99 C102 C94:H94">
    <cfRule type="cellIs" dxfId="108" priority="28" operator="equal">
      <formula>0</formula>
    </cfRule>
  </conditionalFormatting>
  <conditionalFormatting sqref="D1">
    <cfRule type="cellIs" dxfId="107" priority="27" operator="equal">
      <formula>0</formula>
    </cfRule>
  </conditionalFormatting>
  <conditionalFormatting sqref="A9:F9">
    <cfRule type="containsText" dxfId="106" priority="26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91:K91">
    <cfRule type="containsText" dxfId="105" priority="25" operator="containsText" text="Tiešās izmaksas kopā, t. sk. darba devēja sociālais nodoklis __.__% ">
      <formula>NOT(ISERROR(SEARCH("Tiešās izmaksas kopā, t. sk. darba devēja sociālais nodoklis __.__% ",A91)))</formula>
    </cfRule>
  </conditionalFormatting>
  <conditionalFormatting sqref="F14:G14 I14:J14">
    <cfRule type="cellIs" dxfId="104" priority="22" operator="equal">
      <formula>0</formula>
    </cfRule>
  </conditionalFormatting>
  <conditionalFormatting sqref="H14">
    <cfRule type="cellIs" dxfId="103" priority="21" operator="equal">
      <formula>0</formula>
    </cfRule>
  </conditionalFormatting>
  <conditionalFormatting sqref="I48:J64 F48:G64">
    <cfRule type="cellIs" dxfId="102" priority="20" operator="equal">
      <formula>0</formula>
    </cfRule>
  </conditionalFormatting>
  <conditionalFormatting sqref="H48:H64">
    <cfRule type="cellIs" dxfId="101" priority="19" operator="equal">
      <formula>0</formula>
    </cfRule>
  </conditionalFormatting>
  <conditionalFormatting sqref="B47 D47:E47">
    <cfRule type="cellIs" dxfId="100" priority="18" operator="equal">
      <formula>0</formula>
    </cfRule>
  </conditionalFormatting>
  <conditionalFormatting sqref="K47:P47">
    <cfRule type="cellIs" dxfId="99" priority="17" operator="equal">
      <formula>0</formula>
    </cfRule>
  </conditionalFormatting>
  <conditionalFormatting sqref="C47">
    <cfRule type="cellIs" dxfId="98" priority="16" operator="equal">
      <formula>0</formula>
    </cfRule>
  </conditionalFormatting>
  <conditionalFormatting sqref="F47:G47 I47:J47">
    <cfRule type="cellIs" dxfId="97" priority="14" operator="equal">
      <formula>0</formula>
    </cfRule>
  </conditionalFormatting>
  <conditionalFormatting sqref="H47">
    <cfRule type="cellIs" dxfId="96" priority="13" operator="equal">
      <formula>0</formula>
    </cfRule>
  </conditionalFormatting>
  <conditionalFormatting sqref="D65:E66 B65:B66">
    <cfRule type="cellIs" dxfId="95" priority="12" operator="equal">
      <formula>0</formula>
    </cfRule>
  </conditionalFormatting>
  <conditionalFormatting sqref="K65:P66">
    <cfRule type="cellIs" dxfId="94" priority="11" operator="equal">
      <formula>0</formula>
    </cfRule>
  </conditionalFormatting>
  <conditionalFormatting sqref="C65:C66">
    <cfRule type="cellIs" dxfId="93" priority="10" operator="equal">
      <formula>0</formula>
    </cfRule>
  </conditionalFormatting>
  <conditionalFormatting sqref="I65:J66 F65:G66">
    <cfRule type="cellIs" dxfId="92" priority="8" operator="equal">
      <formula>0</formula>
    </cfRule>
  </conditionalFormatting>
  <conditionalFormatting sqref="H65:H66">
    <cfRule type="cellIs" dxfId="91" priority="7" operator="equal">
      <formula>0</formula>
    </cfRule>
  </conditionalFormatting>
  <conditionalFormatting sqref="D67:E68 B67:B68">
    <cfRule type="cellIs" dxfId="90" priority="6" operator="equal">
      <formula>0</formula>
    </cfRule>
  </conditionalFormatting>
  <conditionalFormatting sqref="K67:P68">
    <cfRule type="cellIs" dxfId="89" priority="5" operator="equal">
      <formula>0</formula>
    </cfRule>
  </conditionalFormatting>
  <conditionalFormatting sqref="C67:C68">
    <cfRule type="cellIs" dxfId="88" priority="4" operator="equal">
      <formula>0</formula>
    </cfRule>
  </conditionalFormatting>
  <conditionalFormatting sqref="I67:J68 F67:G68">
    <cfRule type="cellIs" dxfId="87" priority="2" operator="equal">
      <formula>0</formula>
    </cfRule>
  </conditionalFormatting>
  <conditionalFormatting sqref="H67:H68">
    <cfRule type="cellIs" dxfId="86" priority="1" operator="equal">
      <formula>0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2" operator="containsText" id="{DC7EA987-A541-4A14-8BBA-80430C8D8797}">
            <xm:f>NOT(ISERROR(SEARCH("Tāme sastādīta ____. gada ___. ______________",A97)))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A97</xm:sqref>
        </x14:conditionalFormatting>
        <x14:conditionalFormatting xmlns:xm="http://schemas.microsoft.com/office/excel/2006/main">
          <x14:cfRule type="containsText" priority="31" operator="containsText" id="{ACDA78AF-73B6-4D16-9157-A1B6B42F0CA3}">
            <xm:f>NOT(ISERROR(SEARCH("Sertifikāta Nr. _________________________________",A102)))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workbookViewId="0">
      <selection activeCell="D2" sqref="D2"/>
    </sheetView>
  </sheetViews>
  <sheetFormatPr defaultRowHeight="15" x14ac:dyDescent="0.25"/>
  <cols>
    <col min="1" max="1" width="10.42578125" customWidth="1"/>
    <col min="7" max="7" width="11.7109375" customWidth="1"/>
    <col min="8" max="8" width="11" customWidth="1"/>
    <col min="13" max="13" width="14.7109375" customWidth="1"/>
  </cols>
  <sheetData>
    <row r="1" spans="1:28" ht="45" x14ac:dyDescent="0.25">
      <c r="A1" s="174" t="s">
        <v>274</v>
      </c>
      <c r="B1" s="177" t="s">
        <v>275</v>
      </c>
      <c r="D1" s="177" t="s">
        <v>279</v>
      </c>
      <c r="K1" s="162" t="s">
        <v>353</v>
      </c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4"/>
    </row>
    <row r="2" spans="1:28" ht="15.75" thickBot="1" x14ac:dyDescent="0.3">
      <c r="A2" s="175">
        <v>7.72</v>
      </c>
      <c r="B2" s="176">
        <f>6*0.6+7.75+2.2*1.05</f>
        <v>13.66</v>
      </c>
      <c r="D2" s="175">
        <f>2.63+1.42*6+1.46</f>
        <v>12.61</v>
      </c>
      <c r="K2" s="165" t="s">
        <v>354</v>
      </c>
      <c r="L2" s="166"/>
      <c r="M2" s="166"/>
      <c r="N2" s="166"/>
      <c r="O2" s="166"/>
      <c r="P2" s="166"/>
      <c r="Q2" s="166"/>
      <c r="R2" s="166"/>
      <c r="S2" s="166"/>
      <c r="T2" s="166"/>
      <c r="U2" s="166" t="s">
        <v>314</v>
      </c>
      <c r="V2" s="167"/>
    </row>
    <row r="3" spans="1:28" ht="15.75" thickBot="1" x14ac:dyDescent="0.3">
      <c r="A3" s="175">
        <v>13.68</v>
      </c>
      <c r="D3" s="179">
        <f>D2*0.98</f>
        <v>12.357799999999999</v>
      </c>
      <c r="K3" s="165">
        <v>7.24</v>
      </c>
      <c r="L3" s="166">
        <v>6.31</v>
      </c>
      <c r="M3" s="166">
        <v>7.46</v>
      </c>
      <c r="N3" s="166">
        <v>6.08</v>
      </c>
      <c r="O3" s="166">
        <v>7.12</v>
      </c>
      <c r="P3" s="166">
        <v>6.86</v>
      </c>
      <c r="Q3" s="166">
        <v>3.12</v>
      </c>
      <c r="R3" s="166">
        <v>3.12</v>
      </c>
      <c r="S3" s="166">
        <v>5.94</v>
      </c>
      <c r="T3" s="166">
        <v>3</v>
      </c>
      <c r="U3" s="166"/>
      <c r="V3" s="167"/>
    </row>
    <row r="4" spans="1:28" ht="15.75" thickBot="1" x14ac:dyDescent="0.3">
      <c r="A4" s="175">
        <v>13.15</v>
      </c>
      <c r="K4" s="165">
        <v>5</v>
      </c>
      <c r="L4" s="166">
        <v>4</v>
      </c>
      <c r="M4" s="166">
        <v>5</v>
      </c>
      <c r="N4" s="166">
        <v>4</v>
      </c>
      <c r="O4" s="166">
        <v>5</v>
      </c>
      <c r="P4" s="166">
        <v>4</v>
      </c>
      <c r="Q4" s="166">
        <v>4</v>
      </c>
      <c r="R4" s="166">
        <v>4</v>
      </c>
      <c r="S4" s="166">
        <v>4</v>
      </c>
      <c r="T4" s="166">
        <v>1</v>
      </c>
      <c r="U4" s="166"/>
      <c r="V4" s="167"/>
    </row>
    <row r="5" spans="1:28" x14ac:dyDescent="0.25">
      <c r="A5" s="175">
        <v>27.85</v>
      </c>
      <c r="D5" s="162" t="s">
        <v>58</v>
      </c>
      <c r="E5" s="163"/>
      <c r="F5" s="163"/>
      <c r="G5" s="163"/>
      <c r="H5" s="163"/>
      <c r="I5" s="164"/>
      <c r="K5" s="181">
        <f>K3*1.32*K4</f>
        <v>47.784000000000006</v>
      </c>
      <c r="L5" s="168">
        <f t="shared" ref="L5:T5" si="0">L3*1.32*L4</f>
        <v>33.316800000000001</v>
      </c>
      <c r="M5" s="168">
        <f t="shared" si="0"/>
        <v>49.236000000000004</v>
      </c>
      <c r="N5" s="168">
        <f t="shared" si="0"/>
        <v>32.102400000000003</v>
      </c>
      <c r="O5" s="168">
        <f t="shared" si="0"/>
        <v>46.992000000000004</v>
      </c>
      <c r="P5" s="168">
        <f t="shared" si="0"/>
        <v>36.220800000000004</v>
      </c>
      <c r="Q5" s="168">
        <f t="shared" si="0"/>
        <v>16.473600000000001</v>
      </c>
      <c r="R5" s="168">
        <f t="shared" si="0"/>
        <v>16.473600000000001</v>
      </c>
      <c r="S5" s="168">
        <f t="shared" si="0"/>
        <v>31.363200000000003</v>
      </c>
      <c r="T5" s="168">
        <f t="shared" si="0"/>
        <v>3.96</v>
      </c>
      <c r="U5" s="168">
        <f>SUM(K5:T5)</f>
        <v>313.92239999999998</v>
      </c>
      <c r="V5" s="167" t="s">
        <v>73</v>
      </c>
    </row>
    <row r="6" spans="1:28" ht="15.75" thickBot="1" x14ac:dyDescent="0.3">
      <c r="A6" s="175">
        <v>14.68</v>
      </c>
      <c r="D6" s="165" t="s">
        <v>281</v>
      </c>
      <c r="E6" s="166"/>
      <c r="F6" s="166"/>
      <c r="G6" s="166"/>
      <c r="H6" s="166"/>
      <c r="I6" s="167" t="s">
        <v>289</v>
      </c>
      <c r="K6" s="170">
        <f>K3*K4</f>
        <v>36.200000000000003</v>
      </c>
      <c r="L6" s="171">
        <f>L3*L4</f>
        <v>25.24</v>
      </c>
      <c r="M6" s="171">
        <f>M3*M4</f>
        <v>37.299999999999997</v>
      </c>
      <c r="N6" s="171">
        <f>N3*N4</f>
        <v>24.32</v>
      </c>
      <c r="O6" s="171">
        <f>O3*O4</f>
        <v>35.6</v>
      </c>
      <c r="P6" s="171">
        <f t="shared" ref="P6:T6" si="1">P3*P4</f>
        <v>27.44</v>
      </c>
      <c r="Q6" s="171">
        <f t="shared" si="1"/>
        <v>12.48</v>
      </c>
      <c r="R6" s="171">
        <f>R3*R4</f>
        <v>12.48</v>
      </c>
      <c r="S6" s="171">
        <f>S3*S4</f>
        <v>23.76</v>
      </c>
      <c r="T6" s="171">
        <f t="shared" si="1"/>
        <v>3</v>
      </c>
      <c r="U6" s="171">
        <f>SUM(K6:T6)</f>
        <v>237.81999999999996</v>
      </c>
      <c r="V6" s="173" t="s">
        <v>361</v>
      </c>
    </row>
    <row r="7" spans="1:28" x14ac:dyDescent="0.25">
      <c r="A7" s="175">
        <v>17.5</v>
      </c>
      <c r="D7" s="165" t="s">
        <v>282</v>
      </c>
      <c r="E7" s="166" t="s">
        <v>283</v>
      </c>
      <c r="F7" s="166" t="s">
        <v>284</v>
      </c>
      <c r="G7" s="166"/>
      <c r="H7" s="166" t="s">
        <v>285</v>
      </c>
      <c r="I7" s="167">
        <v>114.19</v>
      </c>
      <c r="K7" s="210" t="s">
        <v>360</v>
      </c>
      <c r="L7" s="211"/>
      <c r="M7" s="211"/>
      <c r="N7" s="211"/>
      <c r="O7" s="211"/>
      <c r="P7" s="211"/>
      <c r="Q7" s="211"/>
      <c r="R7" s="211"/>
      <c r="S7" s="211"/>
      <c r="T7" s="211"/>
      <c r="U7" s="211" t="s">
        <v>314</v>
      </c>
      <c r="V7" s="212"/>
    </row>
    <row r="8" spans="1:28" x14ac:dyDescent="0.25">
      <c r="A8" s="175">
        <v>8.5</v>
      </c>
      <c r="D8" s="165">
        <f>6.72+7.05+6.71</f>
        <v>20.48</v>
      </c>
      <c r="E8" s="166">
        <f>0.98</f>
        <v>0.98</v>
      </c>
      <c r="F8" s="168">
        <f>D8*E8</f>
        <v>20.070399999999999</v>
      </c>
      <c r="G8" s="166"/>
      <c r="H8" s="166" t="s">
        <v>286</v>
      </c>
      <c r="I8" s="167">
        <f>I7</f>
        <v>114.19</v>
      </c>
      <c r="K8" s="213">
        <v>7.24</v>
      </c>
      <c r="L8" s="214">
        <v>6.31</v>
      </c>
      <c r="M8" s="214">
        <v>7.46</v>
      </c>
      <c r="N8" s="214">
        <v>6.08</v>
      </c>
      <c r="O8" s="214">
        <v>7.12</v>
      </c>
      <c r="P8" s="214">
        <v>6.86</v>
      </c>
      <c r="Q8" s="214">
        <v>3.12</v>
      </c>
      <c r="R8" s="214">
        <v>3.12</v>
      </c>
      <c r="S8" s="214">
        <v>5.94</v>
      </c>
      <c r="T8" s="214">
        <v>3</v>
      </c>
      <c r="U8" s="214"/>
      <c r="V8" s="215"/>
    </row>
    <row r="9" spans="1:28" ht="15.75" thickBot="1" x14ac:dyDescent="0.3">
      <c r="A9" s="176">
        <f>SUM(A2:A8)</f>
        <v>103.08</v>
      </c>
      <c r="D9" s="165">
        <f>6.7*3</f>
        <v>20.100000000000001</v>
      </c>
      <c r="E9" s="166"/>
      <c r="F9" s="168">
        <f>8.26+8.12+8.5</f>
        <v>24.88</v>
      </c>
      <c r="G9" s="166"/>
      <c r="H9" s="166" t="s">
        <v>287</v>
      </c>
      <c r="I9" s="167">
        <v>87.49</v>
      </c>
      <c r="K9" s="213">
        <v>6</v>
      </c>
      <c r="L9" s="214">
        <v>5</v>
      </c>
      <c r="M9" s="214">
        <v>6</v>
      </c>
      <c r="N9" s="214">
        <v>5</v>
      </c>
      <c r="O9" s="214">
        <v>6</v>
      </c>
      <c r="P9" s="214">
        <v>5</v>
      </c>
      <c r="Q9" s="214">
        <v>5</v>
      </c>
      <c r="R9" s="214">
        <v>5</v>
      </c>
      <c r="S9" s="214">
        <v>5</v>
      </c>
      <c r="T9" s="214">
        <v>1</v>
      </c>
      <c r="U9" s="214"/>
      <c r="V9" s="215"/>
    </row>
    <row r="10" spans="1:28" x14ac:dyDescent="0.25">
      <c r="D10" s="165">
        <v>11.6</v>
      </c>
      <c r="E10" s="166">
        <f>0.6</f>
        <v>0.6</v>
      </c>
      <c r="F10" s="168">
        <f>D10*E10</f>
        <v>6.96</v>
      </c>
      <c r="G10" s="166"/>
      <c r="H10" s="166" t="s">
        <v>288</v>
      </c>
      <c r="I10" s="169">
        <f>I7+D13*0.3+D3+D2*0.3</f>
        <v>163.06379999999999</v>
      </c>
      <c r="K10" s="216">
        <f t="shared" ref="K10:T10" si="2">K8*1.6*K9</f>
        <v>69.504000000000005</v>
      </c>
      <c r="L10" s="217">
        <f t="shared" si="2"/>
        <v>50.480000000000004</v>
      </c>
      <c r="M10" s="217">
        <f t="shared" si="2"/>
        <v>71.616</v>
      </c>
      <c r="N10" s="217">
        <f t="shared" si="2"/>
        <v>48.640000000000008</v>
      </c>
      <c r="O10" s="217">
        <f t="shared" si="2"/>
        <v>68.352000000000004</v>
      </c>
      <c r="P10" s="217">
        <f t="shared" si="2"/>
        <v>54.88</v>
      </c>
      <c r="Q10" s="217">
        <f t="shared" si="2"/>
        <v>24.960000000000004</v>
      </c>
      <c r="R10" s="217">
        <f t="shared" si="2"/>
        <v>24.960000000000004</v>
      </c>
      <c r="S10" s="217">
        <f t="shared" si="2"/>
        <v>47.52000000000001</v>
      </c>
      <c r="T10" s="217">
        <f t="shared" si="2"/>
        <v>4.8000000000000007</v>
      </c>
      <c r="U10" s="217">
        <f>SUM(K10:T10)</f>
        <v>465.71200000000005</v>
      </c>
      <c r="V10" s="215" t="s">
        <v>73</v>
      </c>
    </row>
    <row r="11" spans="1:28" ht="15.75" thickBot="1" x14ac:dyDescent="0.3">
      <c r="D11" s="165">
        <v>3.74</v>
      </c>
      <c r="E11" s="166">
        <f>0.98</f>
        <v>0.98</v>
      </c>
      <c r="F11" s="168">
        <f t="shared" ref="F11:F12" si="3">D11*E11</f>
        <v>3.6652</v>
      </c>
      <c r="G11" s="166"/>
      <c r="H11" s="166"/>
      <c r="I11" s="167"/>
      <c r="K11" s="218">
        <f>K8*K9</f>
        <v>43.44</v>
      </c>
      <c r="L11" s="219">
        <f t="shared" ref="L11:T11" si="4">L8*L9</f>
        <v>31.549999999999997</v>
      </c>
      <c r="M11" s="219">
        <f t="shared" si="4"/>
        <v>44.76</v>
      </c>
      <c r="N11" s="219">
        <f t="shared" si="4"/>
        <v>30.4</v>
      </c>
      <c r="O11" s="219">
        <f t="shared" si="4"/>
        <v>42.72</v>
      </c>
      <c r="P11" s="219">
        <f t="shared" si="4"/>
        <v>34.300000000000004</v>
      </c>
      <c r="Q11" s="219">
        <f t="shared" si="4"/>
        <v>15.600000000000001</v>
      </c>
      <c r="R11" s="219">
        <f t="shared" si="4"/>
        <v>15.600000000000001</v>
      </c>
      <c r="S11" s="219">
        <f t="shared" si="4"/>
        <v>29.700000000000003</v>
      </c>
      <c r="T11" s="219">
        <f t="shared" si="4"/>
        <v>3</v>
      </c>
      <c r="U11" s="219">
        <f>SUM(K11:T11)</f>
        <v>291.07</v>
      </c>
      <c r="V11" s="220" t="s">
        <v>361</v>
      </c>
    </row>
    <row r="12" spans="1:28" ht="15.75" thickBot="1" x14ac:dyDescent="0.3">
      <c r="D12" s="165">
        <f>11.69+41.5</f>
        <v>53.19</v>
      </c>
      <c r="E12" s="166">
        <f>0.6</f>
        <v>0.6</v>
      </c>
      <c r="F12" s="168">
        <f t="shared" si="3"/>
        <v>31.913999999999998</v>
      </c>
      <c r="G12" s="166"/>
      <c r="H12" s="166" t="s">
        <v>291</v>
      </c>
      <c r="I12" s="167">
        <f>D13*0.3+D2*0.3</f>
        <v>36.515999999999998</v>
      </c>
    </row>
    <row r="13" spans="1:28" ht="15.75" thickBot="1" x14ac:dyDescent="0.3">
      <c r="D13" s="170">
        <f>SUM(D8:D12)</f>
        <v>109.11</v>
      </c>
      <c r="E13" s="171"/>
      <c r="F13" s="172">
        <f>SUM(F8:F12)</f>
        <v>87.489599999999996</v>
      </c>
      <c r="G13" s="171"/>
      <c r="H13" s="171"/>
      <c r="I13" s="173"/>
      <c r="Q13" s="162" t="s">
        <v>353</v>
      </c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4"/>
    </row>
    <row r="14" spans="1:28" ht="15.75" thickBot="1" x14ac:dyDescent="0.3">
      <c r="Q14" s="165" t="s">
        <v>362</v>
      </c>
      <c r="R14" s="166"/>
      <c r="S14" s="166"/>
      <c r="T14" s="166"/>
      <c r="U14" s="166"/>
      <c r="V14" s="166"/>
      <c r="W14" s="166"/>
      <c r="X14" s="166"/>
      <c r="Y14" s="166"/>
      <c r="Z14" s="166"/>
      <c r="AA14" s="166" t="s">
        <v>314</v>
      </c>
      <c r="AB14" s="167"/>
    </row>
    <row r="15" spans="1:28" x14ac:dyDescent="0.25">
      <c r="A15" s="162" t="s">
        <v>294</v>
      </c>
      <c r="B15" s="164"/>
      <c r="C15" s="162" t="s">
        <v>313</v>
      </c>
      <c r="D15" s="163">
        <f>8.7+16.53+15.84+8.23</f>
        <v>49.3</v>
      </c>
      <c r="E15" s="162" t="s">
        <v>363</v>
      </c>
      <c r="F15" s="163"/>
      <c r="G15" s="163" t="s">
        <v>296</v>
      </c>
      <c r="H15" s="163" t="s">
        <v>337</v>
      </c>
      <c r="I15" s="163" t="s">
        <v>67</v>
      </c>
      <c r="J15" s="163" t="s">
        <v>345</v>
      </c>
      <c r="K15" s="163" t="s">
        <v>347</v>
      </c>
      <c r="L15" s="163" t="s">
        <v>348</v>
      </c>
      <c r="M15" s="163" t="s">
        <v>346</v>
      </c>
      <c r="N15" s="185" t="s">
        <v>366</v>
      </c>
      <c r="O15" s="186" t="s">
        <v>365</v>
      </c>
      <c r="Q15" s="165">
        <v>7.24</v>
      </c>
      <c r="R15" s="166">
        <v>6.31</v>
      </c>
      <c r="S15" s="166">
        <v>7.46</v>
      </c>
      <c r="T15" s="166">
        <v>6.08</v>
      </c>
      <c r="U15" s="166">
        <v>7.12</v>
      </c>
      <c r="V15" s="166">
        <v>6.86</v>
      </c>
      <c r="W15" s="166">
        <v>3.12</v>
      </c>
      <c r="X15" s="166">
        <v>3.12</v>
      </c>
      <c r="Y15" s="166">
        <v>5.94</v>
      </c>
      <c r="Z15" s="166">
        <v>3</v>
      </c>
      <c r="AA15" s="166"/>
      <c r="AB15" s="167"/>
    </row>
    <row r="16" spans="1:28" x14ac:dyDescent="0.25">
      <c r="A16" s="165" t="s">
        <v>295</v>
      </c>
      <c r="B16" s="167">
        <v>13.1</v>
      </c>
      <c r="C16" s="165" t="s">
        <v>313</v>
      </c>
      <c r="D16" s="166">
        <f>3.62*2+7.07</f>
        <v>14.31</v>
      </c>
      <c r="E16" s="165"/>
      <c r="F16" s="166" t="s">
        <v>329</v>
      </c>
      <c r="G16" s="166">
        <v>1.55</v>
      </c>
      <c r="H16" s="166">
        <v>1.45</v>
      </c>
      <c r="I16" s="166">
        <v>30</v>
      </c>
      <c r="J16" s="166">
        <f>2*G16+2*H16</f>
        <v>6</v>
      </c>
      <c r="K16" s="166">
        <f>J16*I16</f>
        <v>180</v>
      </c>
      <c r="L16" s="166">
        <f>G16</f>
        <v>1.55</v>
      </c>
      <c r="M16" s="166">
        <f>L16*I16</f>
        <v>46.5</v>
      </c>
      <c r="N16" s="166">
        <f>G16*H16</f>
        <v>2.2475000000000001</v>
      </c>
      <c r="O16" s="167">
        <f>N16*I16</f>
        <v>67.424999999999997</v>
      </c>
      <c r="Q16" s="165">
        <v>5</v>
      </c>
      <c r="R16" s="166">
        <v>4</v>
      </c>
      <c r="S16" s="166">
        <v>5</v>
      </c>
      <c r="T16" s="166">
        <v>4</v>
      </c>
      <c r="U16" s="166">
        <v>5</v>
      </c>
      <c r="V16" s="166">
        <v>4</v>
      </c>
      <c r="W16" s="166">
        <v>4</v>
      </c>
      <c r="X16" s="166">
        <v>4</v>
      </c>
      <c r="Y16" s="166">
        <v>4</v>
      </c>
      <c r="Z16" s="166">
        <v>1</v>
      </c>
      <c r="AA16" s="166">
        <f>SUM(Q16:Z16)</f>
        <v>40</v>
      </c>
      <c r="AB16" s="167"/>
    </row>
    <row r="17" spans="1:28" x14ac:dyDescent="0.25">
      <c r="A17" s="165" t="s">
        <v>296</v>
      </c>
      <c r="B17" s="167">
        <f>15.6+15.86+16</f>
        <v>47.46</v>
      </c>
      <c r="C17" s="165" t="s">
        <v>285</v>
      </c>
      <c r="D17" s="166">
        <f>6.03*3</f>
        <v>18.09</v>
      </c>
      <c r="E17" s="165"/>
      <c r="F17" s="166" t="s">
        <v>330</v>
      </c>
      <c r="G17" s="166">
        <v>1.8</v>
      </c>
      <c r="H17" s="166">
        <v>1.45</v>
      </c>
      <c r="I17" s="166">
        <v>10</v>
      </c>
      <c r="J17" s="166">
        <f t="shared" ref="J17:J28" si="5">2*G17+2*H17</f>
        <v>6.5</v>
      </c>
      <c r="K17" s="166">
        <f t="shared" ref="K17:K28" si="6">J17*I17</f>
        <v>65</v>
      </c>
      <c r="L17" s="166">
        <f t="shared" ref="L17:L23" si="7">G17</f>
        <v>1.8</v>
      </c>
      <c r="M17" s="166">
        <f t="shared" ref="M17:M23" si="8">L17*I17</f>
        <v>18</v>
      </c>
      <c r="N17" s="166">
        <f t="shared" ref="N17:N28" si="9">G17*H17</f>
        <v>2.61</v>
      </c>
      <c r="O17" s="167">
        <f t="shared" ref="O17:O21" si="10">N17*I17</f>
        <v>26.099999999999998</v>
      </c>
      <c r="Q17" s="181">
        <f>Q15*1.2*Q16</f>
        <v>43.440000000000005</v>
      </c>
      <c r="R17" s="168">
        <f t="shared" ref="R17:Z17" si="11">R15*1.2*R16</f>
        <v>30.287999999999997</v>
      </c>
      <c r="S17" s="168">
        <f t="shared" si="11"/>
        <v>44.76</v>
      </c>
      <c r="T17" s="168">
        <f t="shared" si="11"/>
        <v>29.183999999999997</v>
      </c>
      <c r="U17" s="168">
        <f t="shared" si="11"/>
        <v>42.72</v>
      </c>
      <c r="V17" s="168">
        <f t="shared" si="11"/>
        <v>32.927999999999997</v>
      </c>
      <c r="W17" s="168">
        <f t="shared" si="11"/>
        <v>14.975999999999999</v>
      </c>
      <c r="X17" s="168">
        <f t="shared" si="11"/>
        <v>14.975999999999999</v>
      </c>
      <c r="Y17" s="168">
        <f t="shared" si="11"/>
        <v>28.512</v>
      </c>
      <c r="Z17" s="168">
        <f t="shared" si="11"/>
        <v>3.5999999999999996</v>
      </c>
      <c r="AA17" s="168">
        <f>SUM(Q17:Z17)</f>
        <v>285.38400000000001</v>
      </c>
      <c r="AB17" s="167" t="s">
        <v>73</v>
      </c>
    </row>
    <row r="18" spans="1:28" x14ac:dyDescent="0.25">
      <c r="A18" s="165" t="s">
        <v>297</v>
      </c>
      <c r="B18" s="167">
        <v>1.25</v>
      </c>
      <c r="C18" s="165" t="s">
        <v>314</v>
      </c>
      <c r="D18" s="166">
        <f>SUM(D15:D17)</f>
        <v>81.7</v>
      </c>
      <c r="E18" s="165"/>
      <c r="F18" s="166" t="s">
        <v>331</v>
      </c>
      <c r="G18" s="166">
        <v>1.25</v>
      </c>
      <c r="H18" s="166">
        <v>1.45</v>
      </c>
      <c r="I18" s="166">
        <v>57</v>
      </c>
      <c r="J18" s="166">
        <f t="shared" si="5"/>
        <v>5.4</v>
      </c>
      <c r="K18" s="166">
        <f t="shared" si="6"/>
        <v>307.8</v>
      </c>
      <c r="L18" s="166">
        <f t="shared" si="7"/>
        <v>1.25</v>
      </c>
      <c r="M18" s="166">
        <f t="shared" si="8"/>
        <v>71.25</v>
      </c>
      <c r="N18" s="166">
        <f t="shared" si="9"/>
        <v>1.8125</v>
      </c>
      <c r="O18" s="167">
        <f t="shared" si="10"/>
        <v>103.3125</v>
      </c>
      <c r="Q18" s="165">
        <f>Q15*Q16</f>
        <v>36.200000000000003</v>
      </c>
      <c r="R18" s="166">
        <f t="shared" ref="R18:Z18" si="12">R15*R16</f>
        <v>25.24</v>
      </c>
      <c r="S18" s="166">
        <f t="shared" si="12"/>
        <v>37.299999999999997</v>
      </c>
      <c r="T18" s="166">
        <f t="shared" si="12"/>
        <v>24.32</v>
      </c>
      <c r="U18" s="166">
        <f t="shared" si="12"/>
        <v>35.6</v>
      </c>
      <c r="V18" s="166">
        <f t="shared" si="12"/>
        <v>27.44</v>
      </c>
      <c r="W18" s="166">
        <f t="shared" si="12"/>
        <v>12.48</v>
      </c>
      <c r="X18" s="166">
        <f t="shared" si="12"/>
        <v>12.48</v>
      </c>
      <c r="Y18" s="166">
        <f t="shared" si="12"/>
        <v>23.76</v>
      </c>
      <c r="Z18" s="166">
        <f t="shared" si="12"/>
        <v>3</v>
      </c>
      <c r="AA18" s="166">
        <f>SUM(Q18:Z18)</f>
        <v>237.81999999999996</v>
      </c>
      <c r="AB18" s="167" t="s">
        <v>361</v>
      </c>
    </row>
    <row r="19" spans="1:28" ht="30.75" thickBot="1" x14ac:dyDescent="0.3">
      <c r="A19" s="170" t="s">
        <v>289</v>
      </c>
      <c r="B19" s="182">
        <f>B16*B17*B18</f>
        <v>777.15750000000003</v>
      </c>
      <c r="C19" s="183" t="s">
        <v>315</v>
      </c>
      <c r="D19" s="171">
        <f>SUM(D15:D16)</f>
        <v>63.61</v>
      </c>
      <c r="E19" s="165"/>
      <c r="F19" s="166" t="s">
        <v>332</v>
      </c>
      <c r="G19" s="166">
        <v>1.35</v>
      </c>
      <c r="H19" s="166">
        <v>0.62</v>
      </c>
      <c r="I19" s="166">
        <v>24</v>
      </c>
      <c r="J19" s="166">
        <f t="shared" si="5"/>
        <v>3.9400000000000004</v>
      </c>
      <c r="K19" s="166">
        <f t="shared" si="6"/>
        <v>94.56</v>
      </c>
      <c r="L19" s="166">
        <f t="shared" si="7"/>
        <v>1.35</v>
      </c>
      <c r="M19" s="166">
        <f t="shared" si="8"/>
        <v>32.400000000000006</v>
      </c>
      <c r="N19" s="166">
        <f t="shared" si="9"/>
        <v>0.83700000000000008</v>
      </c>
      <c r="O19" s="167">
        <f t="shared" si="10"/>
        <v>20.088000000000001</v>
      </c>
      <c r="Q19" s="170"/>
      <c r="R19" s="171"/>
      <c r="S19" s="171"/>
      <c r="T19" s="171"/>
      <c r="U19" s="171"/>
      <c r="V19" s="171"/>
      <c r="W19" s="171"/>
      <c r="X19" s="171"/>
      <c r="Y19" s="171"/>
      <c r="Z19" s="171"/>
      <c r="AA19" s="171">
        <f>AA18+AA16*1.2</f>
        <v>285.81999999999994</v>
      </c>
      <c r="AB19" s="173"/>
    </row>
    <row r="20" spans="1:28" ht="15.75" thickBot="1" x14ac:dyDescent="0.3">
      <c r="E20" s="165"/>
      <c r="F20" s="166" t="s">
        <v>333</v>
      </c>
      <c r="G20" s="166" t="s">
        <v>343</v>
      </c>
      <c r="H20" s="166" t="s">
        <v>344</v>
      </c>
      <c r="I20" s="166">
        <v>32</v>
      </c>
      <c r="J20" s="166">
        <f>2*(0.69+1.71+2.16)</f>
        <v>9.120000000000001</v>
      </c>
      <c r="K20" s="166">
        <f t="shared" si="6"/>
        <v>291.84000000000003</v>
      </c>
      <c r="L20" s="166">
        <f>0.69+1.71</f>
        <v>2.4</v>
      </c>
      <c r="M20" s="166">
        <f t="shared" si="8"/>
        <v>76.8</v>
      </c>
      <c r="N20" s="166">
        <f>0.69*2.16+1.71*1.45</f>
        <v>3.9699</v>
      </c>
      <c r="O20" s="167">
        <f>N20*I20</f>
        <v>127.0368</v>
      </c>
    </row>
    <row r="21" spans="1:28" ht="15.75" thickBot="1" x14ac:dyDescent="0.3">
      <c r="E21" s="165"/>
      <c r="F21" s="166" t="s">
        <v>334</v>
      </c>
      <c r="G21" s="166">
        <v>2.4</v>
      </c>
      <c r="H21" s="166">
        <v>1.45</v>
      </c>
      <c r="I21" s="166">
        <v>3</v>
      </c>
      <c r="J21" s="166">
        <f t="shared" si="5"/>
        <v>7.6999999999999993</v>
      </c>
      <c r="K21" s="166">
        <f t="shared" si="6"/>
        <v>23.099999999999998</v>
      </c>
      <c r="L21" s="166">
        <f t="shared" si="7"/>
        <v>2.4</v>
      </c>
      <c r="M21" s="166">
        <f t="shared" si="8"/>
        <v>7.1999999999999993</v>
      </c>
      <c r="N21" s="166">
        <f t="shared" si="9"/>
        <v>3.48</v>
      </c>
      <c r="O21" s="167">
        <f t="shared" si="10"/>
        <v>10.44</v>
      </c>
      <c r="Q21" s="162" t="s">
        <v>60</v>
      </c>
      <c r="R21" s="162" t="s">
        <v>60</v>
      </c>
      <c r="S21" s="163" t="s">
        <v>367</v>
      </c>
      <c r="T21" s="164"/>
      <c r="U21" s="189" t="s">
        <v>373</v>
      </c>
      <c r="V21" s="163"/>
      <c r="W21" s="164"/>
    </row>
    <row r="22" spans="1:28" x14ac:dyDescent="0.25">
      <c r="A22" s="162" t="s">
        <v>320</v>
      </c>
      <c r="B22" s="163"/>
      <c r="C22" s="164"/>
      <c r="E22" s="165" t="s">
        <v>342</v>
      </c>
      <c r="F22" s="166" t="s">
        <v>335</v>
      </c>
      <c r="G22" s="166">
        <v>1.2</v>
      </c>
      <c r="H22" s="166">
        <v>1.1000000000000001</v>
      </c>
      <c r="I22" s="166">
        <v>3</v>
      </c>
      <c r="J22" s="166">
        <f t="shared" si="5"/>
        <v>4.5999999999999996</v>
      </c>
      <c r="K22" s="166">
        <f t="shared" si="6"/>
        <v>13.799999999999999</v>
      </c>
      <c r="L22" s="166">
        <f t="shared" si="7"/>
        <v>1.2</v>
      </c>
      <c r="M22" s="166">
        <f t="shared" si="8"/>
        <v>3.5999999999999996</v>
      </c>
      <c r="N22" s="166">
        <f t="shared" si="9"/>
        <v>1.32</v>
      </c>
      <c r="O22" s="167"/>
      <c r="Q22" s="165" t="s">
        <v>364</v>
      </c>
      <c r="R22" s="165" t="s">
        <v>368</v>
      </c>
      <c r="S22" s="166"/>
      <c r="T22" s="167"/>
      <c r="U22" s="165" t="s">
        <v>282</v>
      </c>
      <c r="V22" s="166" t="s">
        <v>337</v>
      </c>
      <c r="W22" s="167" t="s">
        <v>289</v>
      </c>
    </row>
    <row r="23" spans="1:28" ht="15.75" thickBot="1" x14ac:dyDescent="0.3">
      <c r="A23" s="165">
        <f>49.68-2.9*3</f>
        <v>40.980000000000004</v>
      </c>
      <c r="B23" s="166"/>
      <c r="C23" s="167">
        <f>49.68-2.9*3</f>
        <v>40.980000000000004</v>
      </c>
      <c r="E23" s="165" t="s">
        <v>342</v>
      </c>
      <c r="F23" s="166" t="s">
        <v>336</v>
      </c>
      <c r="G23" s="166">
        <v>1</v>
      </c>
      <c r="H23" s="166">
        <v>0.62</v>
      </c>
      <c r="I23" s="166">
        <v>3</v>
      </c>
      <c r="J23" s="166">
        <f t="shared" si="5"/>
        <v>3.24</v>
      </c>
      <c r="K23" s="166">
        <f t="shared" si="6"/>
        <v>9.7200000000000006</v>
      </c>
      <c r="L23" s="166">
        <f t="shared" si="7"/>
        <v>1</v>
      </c>
      <c r="M23" s="166">
        <f t="shared" si="8"/>
        <v>3</v>
      </c>
      <c r="N23" s="166">
        <f t="shared" si="9"/>
        <v>0.62</v>
      </c>
      <c r="O23" s="167"/>
      <c r="Q23" s="187">
        <f>U6*0.36</f>
        <v>85.615199999999987</v>
      </c>
      <c r="R23" s="165" t="s">
        <v>282</v>
      </c>
      <c r="S23" s="166" t="s">
        <v>283</v>
      </c>
      <c r="T23" s="167" t="s">
        <v>289</v>
      </c>
      <c r="U23" s="165">
        <f>49.68*2</f>
        <v>99.36</v>
      </c>
      <c r="V23" s="166">
        <v>1.9</v>
      </c>
      <c r="W23" s="167">
        <f>U23*V23</f>
        <v>188.78399999999999</v>
      </c>
    </row>
    <row r="24" spans="1:28" x14ac:dyDescent="0.25">
      <c r="A24" s="165">
        <f>10.18+7.37+7.37+1.2*3</f>
        <v>28.520000000000003</v>
      </c>
      <c r="B24" s="166"/>
      <c r="C24" s="167">
        <f>10.18+7.37+7.37</f>
        <v>24.92</v>
      </c>
      <c r="E24" s="165"/>
      <c r="F24" s="166" t="s">
        <v>338</v>
      </c>
      <c r="G24" s="166">
        <v>1.25</v>
      </c>
      <c r="H24" s="166">
        <v>2.12</v>
      </c>
      <c r="I24" s="166">
        <v>3</v>
      </c>
      <c r="J24" s="166">
        <f t="shared" si="5"/>
        <v>6.74</v>
      </c>
      <c r="K24" s="166">
        <f t="shared" si="6"/>
        <v>20.22</v>
      </c>
      <c r="L24" s="166"/>
      <c r="M24" s="166"/>
      <c r="N24" s="166">
        <f t="shared" si="9"/>
        <v>2.6500000000000004</v>
      </c>
      <c r="O24" s="167"/>
      <c r="R24" s="165">
        <v>11.7</v>
      </c>
      <c r="S24" s="166">
        <v>17.34</v>
      </c>
      <c r="T24" s="169">
        <f>R24*S24</f>
        <v>202.87799999999999</v>
      </c>
      <c r="U24" s="165">
        <f>2.66*10</f>
        <v>26.6</v>
      </c>
      <c r="V24" s="166">
        <v>14.19</v>
      </c>
      <c r="W24" s="167">
        <f t="shared" ref="W24:W26" si="13">U24*V24</f>
        <v>377.45400000000001</v>
      </c>
    </row>
    <row r="25" spans="1:28" ht="15.75" thickBot="1" x14ac:dyDescent="0.3">
      <c r="A25" s="170">
        <f>SUM(A23:A24)</f>
        <v>69.5</v>
      </c>
      <c r="B25" s="171"/>
      <c r="C25" s="173">
        <f>SUM(C23:C24)</f>
        <v>65.900000000000006</v>
      </c>
      <c r="E25" s="165"/>
      <c r="F25" s="166" t="s">
        <v>339</v>
      </c>
      <c r="G25" s="166">
        <v>1.02</v>
      </c>
      <c r="H25" s="166">
        <v>2.12</v>
      </c>
      <c r="I25" s="166">
        <v>3</v>
      </c>
      <c r="J25" s="166">
        <f t="shared" si="5"/>
        <v>6.28</v>
      </c>
      <c r="K25" s="166">
        <f t="shared" si="6"/>
        <v>18.84</v>
      </c>
      <c r="L25" s="166"/>
      <c r="M25" s="166"/>
      <c r="N25" s="166">
        <f t="shared" si="9"/>
        <v>2.1624000000000003</v>
      </c>
      <c r="O25" s="167"/>
      <c r="R25" s="165">
        <v>11.7</v>
      </c>
      <c r="S25" s="166">
        <v>9.66</v>
      </c>
      <c r="T25" s="169">
        <f>R25*S25</f>
        <v>113.02199999999999</v>
      </c>
      <c r="U25" s="165">
        <f>2.63*3</f>
        <v>7.89</v>
      </c>
      <c r="V25" s="166">
        <v>14.57</v>
      </c>
      <c r="W25" s="167">
        <f t="shared" si="13"/>
        <v>114.9573</v>
      </c>
    </row>
    <row r="26" spans="1:28" x14ac:dyDescent="0.25">
      <c r="E26" s="165"/>
      <c r="F26" s="166" t="s">
        <v>340</v>
      </c>
      <c r="G26" s="166">
        <v>2.71</v>
      </c>
      <c r="H26" s="166">
        <v>2.98</v>
      </c>
      <c r="I26" s="166">
        <v>3</v>
      </c>
      <c r="J26" s="166">
        <f t="shared" si="5"/>
        <v>11.379999999999999</v>
      </c>
      <c r="K26" s="166">
        <f t="shared" si="6"/>
        <v>34.14</v>
      </c>
      <c r="L26" s="166"/>
      <c r="M26" s="166"/>
      <c r="N26" s="166">
        <f t="shared" si="9"/>
        <v>8.0757999999999992</v>
      </c>
      <c r="O26" s="167"/>
      <c r="R26" s="165" t="s">
        <v>369</v>
      </c>
      <c r="S26" s="166"/>
      <c r="T26" s="167"/>
      <c r="U26" s="165">
        <v>2.66</v>
      </c>
      <c r="V26" s="166">
        <v>2.85</v>
      </c>
      <c r="W26" s="167">
        <f t="shared" si="13"/>
        <v>7.5810000000000004</v>
      </c>
    </row>
    <row r="27" spans="1:28" ht="15.75" thickBot="1" x14ac:dyDescent="0.3">
      <c r="E27" s="165" t="s">
        <v>342</v>
      </c>
      <c r="F27" s="166" t="s">
        <v>341</v>
      </c>
      <c r="G27" s="166">
        <v>0.93</v>
      </c>
      <c r="H27" s="166">
        <v>2</v>
      </c>
      <c r="I27" s="166">
        <v>3</v>
      </c>
      <c r="J27" s="166">
        <f t="shared" si="5"/>
        <v>5.86</v>
      </c>
      <c r="K27" s="166">
        <f t="shared" si="6"/>
        <v>17.580000000000002</v>
      </c>
      <c r="L27" s="166"/>
      <c r="M27" s="166"/>
      <c r="N27" s="166">
        <f t="shared" si="9"/>
        <v>1.86</v>
      </c>
      <c r="O27" s="167"/>
      <c r="R27" s="165">
        <f>7.14*3</f>
        <v>21.419999999999998</v>
      </c>
      <c r="S27" s="166">
        <v>15.39</v>
      </c>
      <c r="T27" s="169">
        <f>R27*S27</f>
        <v>329.65379999999999</v>
      </c>
      <c r="U27" s="170"/>
      <c r="V27" s="171"/>
      <c r="W27" s="188">
        <f>SUM(W23:W26)</f>
        <v>688.77630000000011</v>
      </c>
    </row>
    <row r="28" spans="1:28" ht="30" x14ac:dyDescent="0.25">
      <c r="E28" s="165"/>
      <c r="F28" s="184" t="s">
        <v>372</v>
      </c>
      <c r="G28" s="184">
        <v>0.75</v>
      </c>
      <c r="H28" s="184">
        <v>2.16</v>
      </c>
      <c r="I28" s="184">
        <v>3</v>
      </c>
      <c r="J28" s="184">
        <f t="shared" si="5"/>
        <v>5.82</v>
      </c>
      <c r="K28" s="184">
        <f t="shared" si="6"/>
        <v>17.46</v>
      </c>
      <c r="L28" s="184">
        <v>0.75</v>
      </c>
      <c r="M28" s="166">
        <f>L28*I28</f>
        <v>2.25</v>
      </c>
      <c r="N28" s="184">
        <f t="shared" si="9"/>
        <v>1.62</v>
      </c>
      <c r="O28" s="167">
        <f>N28*I28</f>
        <v>4.8600000000000003</v>
      </c>
      <c r="R28" s="165">
        <f>3.3+6.61+8.85+6.77</f>
        <v>25.529999999999998</v>
      </c>
      <c r="S28" s="166">
        <v>14.89</v>
      </c>
      <c r="T28" s="169">
        <f>R28*S28</f>
        <v>380.14169999999996</v>
      </c>
      <c r="V28" s="178" t="s">
        <v>374</v>
      </c>
      <c r="W28" s="161">
        <f>Q23+T35+W27</f>
        <v>2243.1397000000002</v>
      </c>
    </row>
    <row r="29" spans="1:28" ht="15.75" thickBot="1" x14ac:dyDescent="0.3">
      <c r="E29" s="170"/>
      <c r="F29" s="171"/>
      <c r="G29" s="171"/>
      <c r="H29" s="171"/>
      <c r="I29" s="171"/>
      <c r="J29" s="171"/>
      <c r="K29" s="171">
        <f>SUM(K16:K28)</f>
        <v>1094.06</v>
      </c>
      <c r="L29" s="171"/>
      <c r="M29" s="171">
        <f>SUM(M16:M28)</f>
        <v>261</v>
      </c>
      <c r="N29" s="171"/>
      <c r="O29" s="173">
        <f>SUM(O16:O28)</f>
        <v>359.26229999999998</v>
      </c>
      <c r="R29" s="165">
        <f>2.93+2.93+5.82</f>
        <v>11.68</v>
      </c>
      <c r="S29" s="166">
        <v>13.9</v>
      </c>
      <c r="T29" s="169">
        <f>R29*S29-6.73*3</f>
        <v>142.16200000000001</v>
      </c>
    </row>
    <row r="30" spans="1:28" x14ac:dyDescent="0.25">
      <c r="R30" s="165" t="s">
        <v>370</v>
      </c>
      <c r="S30" s="166"/>
      <c r="T30" s="167"/>
      <c r="U30" s="174" t="s">
        <v>375</v>
      </c>
    </row>
    <row r="31" spans="1:28" ht="15.75" thickBot="1" x14ac:dyDescent="0.3">
      <c r="R31" s="165">
        <f>6.72+5.9+7.05+5.67+6.71+6.3</f>
        <v>38.35</v>
      </c>
      <c r="S31" s="166">
        <v>13.9</v>
      </c>
      <c r="T31" s="169">
        <f>R31*S31</f>
        <v>533.06500000000005</v>
      </c>
      <c r="U31" s="176">
        <f>2*11.7+6.75+14.47+12.3+8.9</f>
        <v>65.820000000000007</v>
      </c>
    </row>
    <row r="32" spans="1:28" x14ac:dyDescent="0.25">
      <c r="R32" s="165">
        <f>2.9*3</f>
        <v>8.6999999999999993</v>
      </c>
      <c r="S32" s="166">
        <v>13.17</v>
      </c>
      <c r="T32" s="169">
        <f t="shared" ref="T32:T33" si="14">R32*S32</f>
        <v>114.57899999999999</v>
      </c>
    </row>
    <row r="33" spans="18:20" x14ac:dyDescent="0.25">
      <c r="R33" s="165">
        <f>5.9+5.67+6.3</f>
        <v>17.87</v>
      </c>
      <c r="S33" s="166">
        <v>0.7</v>
      </c>
      <c r="T33" s="169">
        <f t="shared" si="14"/>
        <v>12.509</v>
      </c>
    </row>
    <row r="34" spans="18:20" x14ac:dyDescent="0.25">
      <c r="R34" s="165"/>
      <c r="S34" s="166" t="s">
        <v>314</v>
      </c>
      <c r="T34" s="169">
        <f>SUM(T24:T33)</f>
        <v>1828.0104999999999</v>
      </c>
    </row>
    <row r="35" spans="18:20" ht="15.75" thickBot="1" x14ac:dyDescent="0.3">
      <c r="R35" s="170"/>
      <c r="S35" s="171" t="s">
        <v>371</v>
      </c>
      <c r="T35" s="188">
        <f>T34-O29</f>
        <v>1468.7482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T32"/>
  <sheetViews>
    <sheetView zoomScaleNormal="100" workbookViewId="0">
      <selection activeCell="F14" sqref="F14:P19"/>
    </sheetView>
  </sheetViews>
  <sheetFormatPr defaultColWidth="9.140625" defaultRowHeight="11.25" x14ac:dyDescent="0.2"/>
  <cols>
    <col min="1" max="1" width="4.5703125" style="39" customWidth="1"/>
    <col min="2" max="2" width="5.28515625" style="39" customWidth="1"/>
    <col min="3" max="3" width="38.42578125" style="39" customWidth="1"/>
    <col min="4" max="4" width="5.85546875" style="39" customWidth="1"/>
    <col min="5" max="5" width="8.7109375" style="39" customWidth="1"/>
    <col min="6" max="6" width="5.42578125" style="39" customWidth="1"/>
    <col min="7" max="7" width="4.85546875" style="39" customWidth="1"/>
    <col min="8" max="10" width="6.7109375" style="39" customWidth="1"/>
    <col min="11" max="11" width="7" style="39" customWidth="1"/>
    <col min="12" max="15" width="7.7109375" style="39" customWidth="1"/>
    <col min="16" max="16" width="9" style="39" customWidth="1"/>
    <col min="17" max="16384" width="9.140625" style="39"/>
  </cols>
  <sheetData>
    <row r="1" spans="1:20" x14ac:dyDescent="0.2">
      <c r="A1" s="65"/>
      <c r="B1" s="65"/>
      <c r="C1" s="66" t="s">
        <v>38</v>
      </c>
      <c r="D1" s="67">
        <f>'Kops a'!A20</f>
        <v>0</v>
      </c>
      <c r="E1" s="65"/>
      <c r="F1" s="65"/>
      <c r="G1" s="65"/>
      <c r="H1" s="65"/>
      <c r="I1" s="65"/>
      <c r="J1" s="65"/>
      <c r="N1" s="68"/>
      <c r="O1" s="66"/>
      <c r="P1" s="69"/>
    </row>
    <row r="2" spans="1:20" x14ac:dyDescent="0.2">
      <c r="A2" s="70"/>
      <c r="B2" s="70"/>
      <c r="C2" s="268" t="s">
        <v>61</v>
      </c>
      <c r="D2" s="268"/>
      <c r="E2" s="268"/>
      <c r="F2" s="268"/>
      <c r="G2" s="268"/>
      <c r="H2" s="268"/>
      <c r="I2" s="268"/>
      <c r="J2" s="70"/>
    </row>
    <row r="3" spans="1:20" x14ac:dyDescent="0.2">
      <c r="A3" s="71"/>
      <c r="B3" s="71"/>
      <c r="C3" s="231" t="s">
        <v>17</v>
      </c>
      <c r="D3" s="231"/>
      <c r="E3" s="231"/>
      <c r="F3" s="231"/>
      <c r="G3" s="231"/>
      <c r="H3" s="231"/>
      <c r="I3" s="231"/>
      <c r="J3" s="71"/>
    </row>
    <row r="4" spans="1:20" x14ac:dyDescent="0.2">
      <c r="A4" s="71"/>
      <c r="B4" s="71"/>
      <c r="C4" s="269" t="s">
        <v>52</v>
      </c>
      <c r="D4" s="269"/>
      <c r="E4" s="269"/>
      <c r="F4" s="269"/>
      <c r="G4" s="269"/>
      <c r="H4" s="269"/>
      <c r="I4" s="269"/>
      <c r="J4" s="71"/>
    </row>
    <row r="5" spans="1:20" x14ac:dyDescent="0.2">
      <c r="A5" s="65"/>
      <c r="B5" s="65"/>
      <c r="C5" s="66" t="s">
        <v>5</v>
      </c>
      <c r="D5" s="282" t="str">
        <f>'Kops a'!D6</f>
        <v>Daudzdzīvokļu dzīvojamās ēkas vienkāršota fasādes atjaunošana.</v>
      </c>
      <c r="E5" s="282"/>
      <c r="F5" s="282"/>
      <c r="G5" s="282"/>
      <c r="H5" s="282"/>
      <c r="I5" s="282"/>
      <c r="J5" s="282"/>
      <c r="K5" s="282"/>
      <c r="L5" s="282"/>
      <c r="M5" s="64"/>
      <c r="N5" s="64"/>
      <c r="O5" s="64"/>
      <c r="P5" s="64"/>
    </row>
    <row r="6" spans="1:20" x14ac:dyDescent="0.2">
      <c r="A6" s="65"/>
      <c r="B6" s="65"/>
      <c r="C6" s="66" t="s">
        <v>6</v>
      </c>
      <c r="D6" s="282" t="str">
        <f>'Kops a'!D7</f>
        <v>Daudzdzīvokļu dzīvojamās ēkas vienkāršota fasādes atjaunošana.</v>
      </c>
      <c r="E6" s="282"/>
      <c r="F6" s="282"/>
      <c r="G6" s="282"/>
      <c r="H6" s="282"/>
      <c r="I6" s="282"/>
      <c r="J6" s="282"/>
      <c r="K6" s="282"/>
      <c r="L6" s="282"/>
      <c r="M6" s="64"/>
      <c r="N6" s="64"/>
      <c r="O6" s="64"/>
      <c r="P6" s="64"/>
    </row>
    <row r="7" spans="1:20" x14ac:dyDescent="0.2">
      <c r="A7" s="65"/>
      <c r="B7" s="65"/>
      <c r="C7" s="66" t="s">
        <v>7</v>
      </c>
      <c r="D7" s="282" t="str">
        <f>'Kops a'!D8</f>
        <v>Smilšu iela 42, k-1, Tukums</v>
      </c>
      <c r="E7" s="282"/>
      <c r="F7" s="282"/>
      <c r="G7" s="282"/>
      <c r="H7" s="282"/>
      <c r="I7" s="282"/>
      <c r="J7" s="282"/>
      <c r="K7" s="282"/>
      <c r="L7" s="282"/>
      <c r="M7" s="64"/>
      <c r="N7" s="64"/>
      <c r="O7" s="64"/>
      <c r="P7" s="64"/>
    </row>
    <row r="8" spans="1:20" x14ac:dyDescent="0.2">
      <c r="A8" s="65"/>
      <c r="B8" s="65"/>
      <c r="C8" s="42" t="s">
        <v>20</v>
      </c>
      <c r="D8" s="282" t="str">
        <f>'Kops a'!D9</f>
        <v xml:space="preserve"> </v>
      </c>
      <c r="E8" s="282"/>
      <c r="F8" s="282"/>
      <c r="G8" s="282"/>
      <c r="H8" s="282"/>
      <c r="I8" s="282"/>
      <c r="J8" s="282"/>
      <c r="K8" s="282"/>
      <c r="L8" s="282"/>
      <c r="M8" s="64"/>
      <c r="N8" s="64"/>
      <c r="O8" s="64"/>
      <c r="P8" s="64"/>
    </row>
    <row r="9" spans="1:20" ht="11.25" customHeight="1" x14ac:dyDescent="0.2">
      <c r="A9" s="270" t="s">
        <v>293</v>
      </c>
      <c r="B9" s="270"/>
      <c r="C9" s="270"/>
      <c r="D9" s="270"/>
      <c r="E9" s="270"/>
      <c r="F9" s="270"/>
      <c r="G9" s="72"/>
      <c r="H9" s="72"/>
      <c r="I9" s="72"/>
      <c r="J9" s="274" t="s">
        <v>39</v>
      </c>
      <c r="K9" s="274"/>
      <c r="L9" s="274"/>
      <c r="M9" s="274"/>
      <c r="N9" s="281">
        <f>P20</f>
        <v>0</v>
      </c>
      <c r="O9" s="281"/>
      <c r="P9" s="72"/>
    </row>
    <row r="10" spans="1:20" x14ac:dyDescent="0.2">
      <c r="A10" s="73"/>
      <c r="B10" s="74"/>
      <c r="C10" s="42"/>
      <c r="D10" s="65"/>
      <c r="E10" s="65"/>
      <c r="F10" s="65"/>
      <c r="G10" s="65"/>
      <c r="H10" s="65"/>
      <c r="I10" s="65"/>
      <c r="J10" s="65"/>
      <c r="K10" s="65"/>
      <c r="L10" s="70"/>
      <c r="M10" s="70"/>
      <c r="O10" s="75"/>
      <c r="P10" s="76" t="str">
        <f>A26</f>
        <v>Tāme sastādīta 2021. gada 13. maijā</v>
      </c>
    </row>
    <row r="11" spans="1:20" ht="12" thickBot="1" x14ac:dyDescent="0.25">
      <c r="A11" s="73"/>
      <c r="B11" s="74"/>
      <c r="C11" s="42"/>
      <c r="D11" s="65"/>
      <c r="E11" s="65"/>
      <c r="F11" s="65"/>
      <c r="G11" s="65"/>
      <c r="H11" s="65"/>
      <c r="I11" s="65"/>
      <c r="J11" s="65"/>
      <c r="K11" s="65"/>
      <c r="L11" s="77"/>
      <c r="M11" s="77"/>
      <c r="N11" s="78"/>
      <c r="O11" s="68"/>
      <c r="P11" s="65"/>
    </row>
    <row r="12" spans="1:20" x14ac:dyDescent="0.2">
      <c r="A12" s="244" t="s">
        <v>23</v>
      </c>
      <c r="B12" s="276" t="s">
        <v>40</v>
      </c>
      <c r="C12" s="272" t="s">
        <v>41</v>
      </c>
      <c r="D12" s="279" t="s">
        <v>42</v>
      </c>
      <c r="E12" s="283" t="s">
        <v>43</v>
      </c>
      <c r="F12" s="271" t="s">
        <v>44</v>
      </c>
      <c r="G12" s="272"/>
      <c r="H12" s="272"/>
      <c r="I12" s="272"/>
      <c r="J12" s="272"/>
      <c r="K12" s="273"/>
      <c r="L12" s="271" t="s">
        <v>45</v>
      </c>
      <c r="M12" s="272"/>
      <c r="N12" s="272"/>
      <c r="O12" s="272"/>
      <c r="P12" s="273"/>
    </row>
    <row r="13" spans="1:20" ht="126.75" customHeight="1" thickBot="1" x14ac:dyDescent="0.25">
      <c r="A13" s="275"/>
      <c r="B13" s="277"/>
      <c r="C13" s="278"/>
      <c r="D13" s="280"/>
      <c r="E13" s="284"/>
      <c r="F13" s="79" t="s">
        <v>46</v>
      </c>
      <c r="G13" s="80" t="s">
        <v>47</v>
      </c>
      <c r="H13" s="80" t="s">
        <v>48</v>
      </c>
      <c r="I13" s="80" t="s">
        <v>49</v>
      </c>
      <c r="J13" s="80" t="s">
        <v>50</v>
      </c>
      <c r="K13" s="81" t="s">
        <v>51</v>
      </c>
      <c r="L13" s="79" t="s">
        <v>46</v>
      </c>
      <c r="M13" s="80" t="s">
        <v>48</v>
      </c>
      <c r="N13" s="80" t="s">
        <v>49</v>
      </c>
      <c r="O13" s="80" t="s">
        <v>50</v>
      </c>
      <c r="P13" s="81" t="s">
        <v>51</v>
      </c>
    </row>
    <row r="14" spans="1:20" ht="22.5" x14ac:dyDescent="0.2">
      <c r="A14" s="82">
        <f>IF(E14&gt;0,IF(E14&gt;0,1+MAX(A13),0),0)</f>
        <v>1</v>
      </c>
      <c r="B14" s="83"/>
      <c r="C14" s="103" t="s">
        <v>195</v>
      </c>
      <c r="D14" s="104" t="s">
        <v>73</v>
      </c>
      <c r="E14" s="195">
        <v>517.85</v>
      </c>
      <c r="F14" s="86"/>
      <c r="G14" s="87"/>
      <c r="H14" s="87"/>
      <c r="I14" s="87"/>
      <c r="J14" s="87"/>
      <c r="K14" s="88"/>
      <c r="L14" s="86"/>
      <c r="M14" s="87"/>
      <c r="N14" s="87"/>
      <c r="O14" s="87"/>
      <c r="P14" s="88"/>
      <c r="T14" s="158"/>
    </row>
    <row r="15" spans="1:20" ht="22.5" x14ac:dyDescent="0.2">
      <c r="A15" s="82">
        <f>IF(E15&gt;0,IF(E15&gt;0,1+MAX(A14),0),0)</f>
        <v>2</v>
      </c>
      <c r="B15" s="89"/>
      <c r="C15" s="105" t="s">
        <v>196</v>
      </c>
      <c r="D15" s="106" t="s">
        <v>73</v>
      </c>
      <c r="E15" s="196">
        <f>E14</f>
        <v>517.85</v>
      </c>
      <c r="F15" s="86"/>
      <c r="G15" s="87"/>
      <c r="H15" s="87"/>
      <c r="I15" s="87"/>
      <c r="J15" s="87"/>
      <c r="K15" s="91"/>
      <c r="L15" s="92"/>
      <c r="M15" s="93"/>
      <c r="N15" s="93"/>
      <c r="O15" s="93"/>
      <c r="P15" s="91"/>
      <c r="T15" s="158"/>
    </row>
    <row r="16" spans="1:20" x14ac:dyDescent="0.2">
      <c r="A16" s="82">
        <f>IF(E16&gt;0,IF(E16&gt;0,1+MAX($A$14:A15),0),0)</f>
        <v>3</v>
      </c>
      <c r="B16" s="89"/>
      <c r="C16" s="107" t="s">
        <v>112</v>
      </c>
      <c r="D16" s="106" t="s">
        <v>102</v>
      </c>
      <c r="E16" s="196">
        <f>E15*0.2</f>
        <v>103.57000000000001</v>
      </c>
      <c r="F16" s="86"/>
      <c r="G16" s="87"/>
      <c r="H16" s="87"/>
      <c r="I16" s="87"/>
      <c r="J16" s="87"/>
      <c r="K16" s="91"/>
      <c r="L16" s="92"/>
      <c r="M16" s="93"/>
      <c r="N16" s="93"/>
      <c r="O16" s="93"/>
      <c r="P16" s="91"/>
      <c r="T16" s="158"/>
    </row>
    <row r="17" spans="1:20" x14ac:dyDescent="0.2">
      <c r="A17" s="82">
        <f>IF(E17&gt;0,IF(E17&gt;0,1+MAX($A$14:A16),0),0)</f>
        <v>4</v>
      </c>
      <c r="B17" s="89"/>
      <c r="C17" s="107" t="s">
        <v>273</v>
      </c>
      <c r="D17" s="106" t="s">
        <v>73</v>
      </c>
      <c r="E17" s="196">
        <f>E15*1.1</f>
        <v>569.6350000000001</v>
      </c>
      <c r="F17" s="86"/>
      <c r="G17" s="87"/>
      <c r="H17" s="87"/>
      <c r="I17" s="87"/>
      <c r="J17" s="87"/>
      <c r="K17" s="91"/>
      <c r="L17" s="92"/>
      <c r="M17" s="93"/>
      <c r="N17" s="93"/>
      <c r="O17" s="93"/>
      <c r="P17" s="91"/>
      <c r="T17" s="158"/>
    </row>
    <row r="18" spans="1:20" x14ac:dyDescent="0.2">
      <c r="A18" s="82">
        <f>IF(E18&gt;0,IF(E18&gt;0,1+MAX($A$14:A17),0),0)</f>
        <v>5</v>
      </c>
      <c r="B18" s="89"/>
      <c r="C18" s="107" t="s">
        <v>136</v>
      </c>
      <c r="D18" s="106" t="s">
        <v>102</v>
      </c>
      <c r="E18" s="196">
        <f>E15*7</f>
        <v>3624.9500000000003</v>
      </c>
      <c r="F18" s="86"/>
      <c r="G18" s="87"/>
      <c r="H18" s="87"/>
      <c r="I18" s="87"/>
      <c r="J18" s="87"/>
      <c r="K18" s="91"/>
      <c r="L18" s="92"/>
      <c r="M18" s="93"/>
      <c r="N18" s="93"/>
      <c r="O18" s="93"/>
      <c r="P18" s="91"/>
      <c r="T18" s="158"/>
    </row>
    <row r="19" spans="1:20" ht="23.25" thickBot="1" x14ac:dyDescent="0.25">
      <c r="A19" s="82">
        <f>IF(E19&gt;0,IF(E19&gt;0,1+MAX($A$14:A18),0),0)</f>
        <v>6</v>
      </c>
      <c r="B19" s="89"/>
      <c r="C19" s="105" t="s">
        <v>272</v>
      </c>
      <c r="D19" s="106" t="s">
        <v>73</v>
      </c>
      <c r="E19" s="197">
        <f>E15</f>
        <v>517.85</v>
      </c>
      <c r="F19" s="86"/>
      <c r="G19" s="87"/>
      <c r="H19" s="87"/>
      <c r="I19" s="87"/>
      <c r="J19" s="87"/>
      <c r="K19" s="91"/>
      <c r="L19" s="92"/>
      <c r="M19" s="93"/>
      <c r="N19" s="93"/>
      <c r="O19" s="93"/>
      <c r="P19" s="91"/>
      <c r="T19" s="158"/>
    </row>
    <row r="20" spans="1:20" ht="12" customHeight="1" thickBot="1" x14ac:dyDescent="0.25">
      <c r="A20" s="286" t="s">
        <v>278</v>
      </c>
      <c r="B20" s="287"/>
      <c r="C20" s="287"/>
      <c r="D20" s="287"/>
      <c r="E20" s="287"/>
      <c r="F20" s="287"/>
      <c r="G20" s="287"/>
      <c r="H20" s="287"/>
      <c r="I20" s="287"/>
      <c r="J20" s="287"/>
      <c r="K20" s="288"/>
      <c r="L20" s="95">
        <f>SUM(L14:L19)</f>
        <v>0</v>
      </c>
      <c r="M20" s="96">
        <f>SUM(M14:M19)</f>
        <v>0</v>
      </c>
      <c r="N20" s="96">
        <f>SUM(N14:N19)</f>
        <v>0</v>
      </c>
      <c r="O20" s="96">
        <f>SUM(O14:O19)</f>
        <v>0</v>
      </c>
      <c r="P20" s="97">
        <f>SUM(P14:P19)</f>
        <v>0</v>
      </c>
    </row>
    <row r="21" spans="1:20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20" x14ac:dyDescent="0.2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20" x14ac:dyDescent="0.2">
      <c r="A23" s="39" t="s">
        <v>14</v>
      </c>
      <c r="B23" s="64"/>
      <c r="C23" s="285" t="str">
        <f>'Kops a'!C33:H33</f>
        <v>Armands Ūbelis</v>
      </c>
      <c r="D23" s="285"/>
      <c r="E23" s="285"/>
      <c r="F23" s="285"/>
      <c r="G23" s="285"/>
      <c r="H23" s="285"/>
      <c r="I23" s="64"/>
      <c r="J23" s="64"/>
      <c r="K23" s="64"/>
      <c r="L23" s="64"/>
      <c r="M23" s="64"/>
      <c r="N23" s="64"/>
      <c r="O23" s="64"/>
      <c r="P23" s="64"/>
    </row>
    <row r="24" spans="1:20" x14ac:dyDescent="0.2">
      <c r="A24" s="64"/>
      <c r="B24" s="64"/>
      <c r="C24" s="222" t="s">
        <v>15</v>
      </c>
      <c r="D24" s="222"/>
      <c r="E24" s="222"/>
      <c r="F24" s="222"/>
      <c r="G24" s="222"/>
      <c r="H24" s="222"/>
      <c r="I24" s="64"/>
      <c r="J24" s="64"/>
      <c r="K24" s="64"/>
      <c r="L24" s="64"/>
      <c r="M24" s="64"/>
      <c r="N24" s="64"/>
      <c r="O24" s="64"/>
      <c r="P24" s="64"/>
    </row>
    <row r="25" spans="1:20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</row>
    <row r="26" spans="1:20" x14ac:dyDescent="0.2">
      <c r="A26" s="98" t="str">
        <f>'Kops a'!A36</f>
        <v>Tāme sastādīta 2021. gada 13. maijā</v>
      </c>
      <c r="B26" s="99"/>
      <c r="C26" s="99"/>
      <c r="D26" s="99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</row>
    <row r="27" spans="1:20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</row>
    <row r="28" spans="1:20" x14ac:dyDescent="0.2">
      <c r="A28" s="39" t="s">
        <v>37</v>
      </c>
      <c r="B28" s="64"/>
      <c r="C28" s="285" t="str">
        <f>'Kops a'!C38:H38</f>
        <v xml:space="preserve"> </v>
      </c>
      <c r="D28" s="285"/>
      <c r="E28" s="285"/>
      <c r="F28" s="285"/>
      <c r="G28" s="285"/>
      <c r="H28" s="285"/>
      <c r="I28" s="64"/>
      <c r="J28" s="64"/>
      <c r="K28" s="64"/>
      <c r="L28" s="64"/>
      <c r="M28" s="64"/>
      <c r="N28" s="64"/>
      <c r="O28" s="64"/>
      <c r="P28" s="64"/>
    </row>
    <row r="29" spans="1:20" x14ac:dyDescent="0.2">
      <c r="A29" s="64"/>
      <c r="B29" s="64"/>
      <c r="C29" s="222" t="s">
        <v>15</v>
      </c>
      <c r="D29" s="222"/>
      <c r="E29" s="222"/>
      <c r="F29" s="222"/>
      <c r="G29" s="222"/>
      <c r="H29" s="222"/>
      <c r="I29" s="64"/>
      <c r="J29" s="64"/>
      <c r="K29" s="64"/>
      <c r="L29" s="64"/>
      <c r="M29" s="64"/>
      <c r="N29" s="64"/>
      <c r="O29" s="64"/>
      <c r="P29" s="64"/>
    </row>
    <row r="30" spans="1:20" x14ac:dyDescent="0.2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20" x14ac:dyDescent="0.2">
      <c r="A31" s="98" t="s">
        <v>54</v>
      </c>
      <c r="B31" s="99"/>
      <c r="C31" s="100" t="str">
        <f>'Kops a'!C41</f>
        <v>4-02608</v>
      </c>
      <c r="D31" s="101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</row>
    <row r="32" spans="1:20" x14ac:dyDescent="0.2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</row>
  </sheetData>
  <mergeCells count="22">
    <mergeCell ref="C29:H29"/>
    <mergeCell ref="C4:I4"/>
    <mergeCell ref="F12:K12"/>
    <mergeCell ref="A9:F9"/>
    <mergeCell ref="J9:M9"/>
    <mergeCell ref="D8:L8"/>
    <mergeCell ref="A20:K20"/>
    <mergeCell ref="C23:H23"/>
    <mergeCell ref="C24:H24"/>
    <mergeCell ref="C28:H28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B15:B19 D15:E19">
    <cfRule type="cellIs" dxfId="83" priority="35" operator="equal">
      <formula>0</formula>
    </cfRule>
  </conditionalFormatting>
  <conditionalFormatting sqref="N9:O9">
    <cfRule type="cellIs" dxfId="82" priority="34" operator="equal">
      <formula>0</formula>
    </cfRule>
  </conditionalFormatting>
  <conditionalFormatting sqref="C2:I2">
    <cfRule type="cellIs" dxfId="81" priority="31" operator="equal">
      <formula>0</formula>
    </cfRule>
  </conditionalFormatting>
  <conditionalFormatting sqref="O10">
    <cfRule type="cellIs" dxfId="80" priority="30" operator="equal">
      <formula>"20__. gada __. _________"</formula>
    </cfRule>
  </conditionalFormatting>
  <conditionalFormatting sqref="K14:P19 L20:P20">
    <cfRule type="cellIs" dxfId="79" priority="24" operator="equal">
      <formula>0</formula>
    </cfRule>
  </conditionalFormatting>
  <conditionalFormatting sqref="C4:I4">
    <cfRule type="cellIs" dxfId="78" priority="23" operator="equal">
      <formula>0</formula>
    </cfRule>
  </conditionalFormatting>
  <conditionalFormatting sqref="C15:C19">
    <cfRule type="cellIs" dxfId="77" priority="22" operator="equal">
      <formula>0</formula>
    </cfRule>
  </conditionalFormatting>
  <conditionalFormatting sqref="D5:L8">
    <cfRule type="cellIs" dxfId="76" priority="19" operator="equal">
      <formula>0</formula>
    </cfRule>
  </conditionalFormatting>
  <conditionalFormatting sqref="B14 D14:E14">
    <cfRule type="cellIs" dxfId="75" priority="18" operator="equal">
      <formula>0</formula>
    </cfRule>
  </conditionalFormatting>
  <conditionalFormatting sqref="C14">
    <cfRule type="cellIs" dxfId="74" priority="17" operator="equal">
      <formula>0</formula>
    </cfRule>
  </conditionalFormatting>
  <conditionalFormatting sqref="P10">
    <cfRule type="cellIs" dxfId="73" priority="15" operator="equal">
      <formula>"20__. gada __. _________"</formula>
    </cfRule>
  </conditionalFormatting>
  <conditionalFormatting sqref="C28:H28">
    <cfRule type="cellIs" dxfId="72" priority="12" operator="equal">
      <formula>0</formula>
    </cfRule>
  </conditionalFormatting>
  <conditionalFormatting sqref="C23:H23">
    <cfRule type="cellIs" dxfId="71" priority="11" operator="equal">
      <formula>0</formula>
    </cfRule>
  </conditionalFormatting>
  <conditionalFormatting sqref="C28:H28 C31 C23:H23">
    <cfRule type="cellIs" dxfId="70" priority="10" operator="equal">
      <formula>0</formula>
    </cfRule>
  </conditionalFormatting>
  <conditionalFormatting sqref="D1">
    <cfRule type="cellIs" dxfId="69" priority="9" operator="equal">
      <formula>0</formula>
    </cfRule>
  </conditionalFormatting>
  <conditionalFormatting sqref="A9:F9">
    <cfRule type="containsText" dxfId="68" priority="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20:K20">
    <cfRule type="containsText" dxfId="67" priority="7" operator="containsText" text="Tiešās izmaksas kopā, t. sk. darba devēja sociālais nodoklis __.__% ">
      <formula>NOT(ISERROR(SEARCH("Tiešās izmaksas kopā, t. sk. darba devēja sociālais nodoklis __.__% ",A20)))</formula>
    </cfRule>
  </conditionalFormatting>
  <conditionalFormatting sqref="A14:A19">
    <cfRule type="cellIs" dxfId="66" priority="6" operator="equal">
      <formula>0</formula>
    </cfRule>
  </conditionalFormatting>
  <conditionalFormatting sqref="F14:G14 I14:J14">
    <cfRule type="cellIs" dxfId="65" priority="4" operator="equal">
      <formula>0</formula>
    </cfRule>
  </conditionalFormatting>
  <conditionalFormatting sqref="H14">
    <cfRule type="cellIs" dxfId="64" priority="3" operator="equal">
      <formula>0</formula>
    </cfRule>
  </conditionalFormatting>
  <conditionalFormatting sqref="F15:G19 I15:J19">
    <cfRule type="cellIs" dxfId="63" priority="2" operator="equal">
      <formula>0</formula>
    </cfRule>
  </conditionalFormatting>
  <conditionalFormatting sqref="H15:H19">
    <cfRule type="cellIs" dxfId="62" priority="1" operator="equal">
      <formula>0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A5F45D83-914D-4306-B26D-4B74C3C819FC}">
            <xm:f>NOT(ISERROR(SEARCH("Tāme sastādīta ____. gada ___. ______________",A26)))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A26</xm:sqref>
        </x14:conditionalFormatting>
        <x14:conditionalFormatting xmlns:xm="http://schemas.microsoft.com/office/excel/2006/main">
          <x14:cfRule type="containsText" priority="13" operator="containsText" id="{A2E03CF5-E14D-4A31-8C34-6550548A72DB}">
            <xm:f>NOT(ISERROR(SEARCH("Sertifikāta Nr. _________________________________",A31)))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Kopt a</vt:lpstr>
      <vt:lpstr>Kops a</vt:lpstr>
      <vt:lpstr>1a</vt:lpstr>
      <vt:lpstr>2a</vt:lpstr>
      <vt:lpstr>3a</vt:lpstr>
      <vt:lpstr>4a</vt:lpstr>
      <vt:lpstr>5a</vt:lpstr>
      <vt:lpstr>Sheet1</vt:lpstr>
      <vt:lpstr>6a</vt:lpstr>
      <vt:lpstr>7a</vt:lpstr>
      <vt:lpstr>8a</vt:lpstr>
      <vt:lpstr>9a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Uldis</cp:lastModifiedBy>
  <cp:lastPrinted>2022-01-11T07:11:57Z</cp:lastPrinted>
  <dcterms:created xsi:type="dcterms:W3CDTF">2019-03-11T11:42:22Z</dcterms:created>
  <dcterms:modified xsi:type="dcterms:W3CDTF">2022-01-11T07:19:56Z</dcterms:modified>
</cp:coreProperties>
</file>